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K+2Ha2bBAL/oYgRZTqkB1jcmbEfISre/Lcr10ZnqFFL0bN7PNwD72CTaEcZrjJKOZdjXfUDhG8N1blX7T9ejA==" workbookSaltValue="Gu0Jlq+BUn8Uh/gZkclJJ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L9" i="2" s="1"/>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F13" i="7" s="1"/>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R13" i="21"/>
  <c r="P19" i="19"/>
  <c r="BE11" i="13"/>
  <c r="BD11" i="13"/>
  <c r="BF17" i="8"/>
  <c r="E18" i="12"/>
  <c r="EL19" i="8"/>
  <c r="AP12" i="11"/>
  <c r="EN19" i="8"/>
  <c r="F12" i="21"/>
  <c r="G10" i="3"/>
  <c r="BA13" i="16"/>
  <c r="J10" i="2"/>
  <c r="AP10" i="11"/>
  <c r="T10" i="21"/>
  <c r="D11" i="2"/>
  <c r="ES19" i="8"/>
  <c r="G18" i="12"/>
  <c r="C18" i="7"/>
  <c r="R8" i="9"/>
  <c r="X12" i="21" s="1"/>
  <c r="BM19" i="8"/>
  <c r="AL13" i="16"/>
  <c r="BJ17" i="11"/>
  <c r="V11" i="16"/>
  <c r="BL12" i="11"/>
  <c r="S13" i="16"/>
  <c r="V12" i="21"/>
  <c r="P13" i="16"/>
  <c r="AM13" i="20"/>
  <c r="Z13" i="17"/>
  <c r="H13" i="12"/>
  <c r="BI10" i="11"/>
  <c r="BJ11" i="11"/>
  <c r="BG15" i="11"/>
  <c r="T15" i="16"/>
  <c r="BV12" i="16"/>
  <c r="U10" i="17"/>
  <c r="S12" i="14"/>
  <c r="V12" i="14" s="1"/>
  <c r="S11" i="14"/>
  <c r="V11" i="14" s="1"/>
  <c r="BG12" i="11"/>
  <c r="P15" i="17"/>
  <c r="BF12" i="11"/>
  <c r="BL15" i="11"/>
  <c r="BL10" i="11"/>
  <c r="R11" i="14"/>
  <c r="BH10" i="16"/>
  <c r="Q15" i="17"/>
  <c r="BM17" i="11"/>
  <c r="BF15" i="11"/>
  <c r="S17" i="17"/>
  <c r="BM9" i="11"/>
  <c r="BH12" i="16"/>
  <c r="BK10" i="11"/>
  <c r="BG10" i="8"/>
  <c r="BD15" i="8"/>
  <c r="BD9" i="8"/>
  <c r="BA13" i="8"/>
  <c r="L10" i="2"/>
  <c r="I19" i="8"/>
  <c r="E13" i="17"/>
  <c r="L16" i="2"/>
  <c r="X10" i="21"/>
  <c r="U9" i="17"/>
  <c r="U19" i="17" s="1"/>
  <c r="T13" i="20"/>
  <c r="T13" i="16"/>
  <c r="AP13" i="16"/>
  <c r="AA9" i="16"/>
  <c r="BG15" i="13"/>
  <c r="BE16" i="13"/>
  <c r="F20" i="20"/>
  <c r="AE20" i="20"/>
  <c r="L20" i="20"/>
  <c r="AP20" i="20"/>
  <c r="AF20" i="20"/>
  <c r="O20" i="20"/>
  <c r="Q20" i="20"/>
  <c r="AG20" i="20"/>
  <c r="O16" i="11"/>
  <c r="AQ20" i="21"/>
  <c r="G18" i="14"/>
  <c r="Z20" i="20"/>
  <c r="AM20" i="20"/>
  <c r="AK20" i="20"/>
  <c r="AB20" i="20"/>
  <c r="E20" i="20"/>
  <c r="AQ20" i="20"/>
  <c r="P20" i="20"/>
  <c r="W20" i="21"/>
  <c r="R20" i="20"/>
  <c r="O10" i="11"/>
  <c r="J20" i="20"/>
  <c r="M20" i="20"/>
  <c r="AH20" i="20"/>
  <c r="T20" i="21"/>
  <c r="I20" i="20"/>
  <c r="AJ20" i="20"/>
  <c r="W20" i="20"/>
  <c r="AO20" i="20"/>
  <c r="AU20" i="20"/>
  <c r="Y20" i="20"/>
  <c r="AV20" i="20"/>
  <c r="AV18" i="21" l="1"/>
  <c r="B17" i="6"/>
  <c r="BM18" i="16"/>
  <c r="AW18" i="21"/>
  <c r="BE12" i="8"/>
  <c r="G12" i="12"/>
  <c r="B13" i="7"/>
  <c r="AB13" i="21"/>
  <c r="BG12" i="8"/>
  <c r="AC10" i="11"/>
  <c r="M18" i="2"/>
  <c r="AN12" i="11"/>
  <c r="D10" i="6"/>
  <c r="K9" i="7"/>
  <c r="E9" i="6"/>
  <c r="C11" i="6"/>
  <c r="AO15" i="11"/>
  <c r="AL16" i="11"/>
  <c r="AO17" i="11"/>
  <c r="AO9" i="11"/>
  <c r="V9" i="16"/>
  <c r="AA11" i="16"/>
  <c r="X15" i="16"/>
  <c r="X18" i="16" s="1"/>
  <c r="L17" i="2"/>
  <c r="L12" i="2"/>
  <c r="S16" i="17"/>
  <c r="S15" i="17"/>
  <c r="AA10" i="16"/>
  <c r="BL16" i="11"/>
  <c r="BJ16" i="11"/>
  <c r="AQ12" i="21"/>
  <c r="BH16" i="11"/>
  <c r="T11" i="11"/>
  <c r="BG16" i="11"/>
  <c r="BH11" i="11"/>
  <c r="BK16" i="11"/>
  <c r="BJ10" i="11"/>
  <c r="T12" i="11"/>
  <c r="AQ10" i="21"/>
  <c r="BI9" i="11"/>
  <c r="BH10" i="11"/>
  <c r="Q17" i="17"/>
  <c r="T16" i="11"/>
  <c r="AZ12" i="11"/>
  <c r="BU16" i="17"/>
  <c r="BV11" i="16"/>
  <c r="BV17" i="16"/>
  <c r="BK17" i="11"/>
  <c r="BJ12" i="11"/>
  <c r="S16" i="14"/>
  <c r="V16" i="14" s="1"/>
  <c r="S9" i="17"/>
  <c r="BF16" i="11"/>
  <c r="BH15" i="16"/>
  <c r="BH9" i="16"/>
  <c r="BE9" i="13"/>
  <c r="F15" i="16"/>
  <c r="BL15" i="16" s="1"/>
  <c r="BE12" i="21"/>
  <c r="AL9" i="11"/>
  <c r="E11" i="6"/>
  <c r="BV9" i="16"/>
  <c r="BW10" i="20"/>
  <c r="BW11" i="20"/>
  <c r="BW12" i="20"/>
  <c r="BU10" i="17"/>
  <c r="BU11" i="17"/>
  <c r="T17" i="16"/>
  <c r="R17" i="20"/>
  <c r="R18" i="20" s="1"/>
  <c r="AP15" i="20"/>
  <c r="R10" i="21"/>
  <c r="R13" i="21" s="1"/>
  <c r="V9" i="11"/>
  <c r="Q10" i="21"/>
  <c r="V11" i="11"/>
  <c r="BK15" i="11"/>
  <c r="S17" i="16"/>
  <c r="BF17" i="11"/>
  <c r="Q17" i="20"/>
  <c r="Q18" i="20" s="1"/>
  <c r="BH15" i="11"/>
  <c r="V15" i="11"/>
  <c r="AP16" i="20"/>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K12" i="7"/>
  <c r="S19" i="16"/>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G13" i="14"/>
  <c r="K20" i="20"/>
  <c r="U12" i="11"/>
  <c r="AN20" i="20"/>
  <c r="S20" i="20"/>
  <c r="N20" i="20"/>
  <c r="AD20" i="20"/>
  <c r="AZ20" i="20"/>
  <c r="K16"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O17" i="11"/>
  <c r="AW20" i="11"/>
  <c r="AV20" i="2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G20" i="17"/>
  <c r="I20" i="12"/>
  <c r="AO20" i="11"/>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<sst xmlns="http://schemas.openxmlformats.org/spreadsheetml/2006/main" count="2094" uniqueCount="913">
  <si>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</si>
  <si>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</si>
  <si>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</si>
  <si>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</si>
  <si>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</si>
  <si>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</si>
  <si>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</si>
  <si>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</si>
  <si>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</si>
  <si>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</si>
  <si>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</si>
  <si>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</si>
  <si>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</si>
  <si>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</si>
  <si>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</si>
  <si>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</si>
  <si>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</si>
  <si>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</si>
  <si>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</si>
  <si>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</si>
  <si>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</si>
  <si>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</si>
  <si>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</si>
  <si>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</si>
  <si>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</si>
  <si>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</si>
  <si>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</si>
  <si>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</si>
  <si>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</si>
  <si>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</si>
  <si>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</si>
  <si>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</si>
  <si>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</si>
  <si>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</si>
  <si>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</si>
  <si>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</si>
  <si>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</si>
  <si>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</si>
  <si>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</si>
  <si>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</si>
  <si>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</si>
  <si>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</si>
  <si>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</si>
  <si>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</si>
  <si>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</si>
  <si>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</si>
  <si>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</si>
  <si>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</si>
  <si>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</si>
  <si>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</si>
  <si>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</si>
  <si>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</si>
  <si>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</si>
  <si>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</si>
  <si>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</si>
  <si>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</si>
  <si>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</si>
  <si>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</si>
  <si>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</si>
  <si>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</si>
  <si>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</si>
  <si>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</si>
  <si>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</si>
  <si>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</si>
  <si>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</si>
  <si>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</si>
  <si>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</si>
  <si>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</si>
  <si>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</si>
  <si>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</si>
  <si>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</si>
  <si>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</si>
  <si>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</si>
  <si>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</si>
  <si>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</si>
  <si>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</si>
  <si>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</si>
  <si>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</si>
  <si>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</si>
  <si>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</si>
  <si>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</si>
  <si>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</si>
  <si>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</si>
  <si>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</si>
  <si>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</si>
  <si>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</si>
  <si>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</si>
  <si>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</si>
  <si>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</si>
  <si>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</si>
  <si>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</si>
  <si>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</si>
  <si>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</si>
  <si>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</si>
  <si>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</si>
  <si>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</si>
  <si>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</si>
  <si>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</si>
  <si>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</si>
  <si>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</si>
  <si>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</si>
  <si>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</si>
  <si>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</si>
  <si>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</si>
  <si>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</si>
  <si>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</si>
  <si>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</si>
  <si>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</si>
  <si>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</si>
  <si>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</si>
  <si>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</si>
  <si>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</si>
  <si>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</si>
  <si>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</si>
  <si>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</si>
  <si>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</si>
  <si>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</si>
  <si>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</si>
  <si>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</si>
  <si>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</si>
  <si>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</si>
  <si>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</si>
  <si>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</si>
  <si>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</si>
  <si>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</si>
  <si>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</si>
  <si>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</si>
  <si>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</si>
  <si>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</si>
  <si>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</si>
  <si>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</si>
  <si>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</si>
  <si>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</si>
  <si>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</si>
  <si>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</si>
  <si>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</si>
  <si>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</si>
  <si>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</si>
  <si>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</si>
  <si>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</si>
  <si>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</si>
  <si>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</si>
  <si>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</si>
  <si>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</si>
  <si>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</si>
  <si>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</si>
  <si>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</si>
  <si>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</si>
  <si>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</si>
  <si>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</si>
  <si>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</si>
  <si>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</si>
  <si>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</si>
  <si>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</si>
  <si>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</si>
  <si>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</si>
  <si>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</si>
  <si>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</si>
  <si>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</si>
  <si>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</si>
  <si>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</si>
  <si>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</si>
  <si>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</si>
  <si>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</si>
  <si>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</si>
  <si>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</si>
  <si>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</si>
  <si>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</si>
  <si>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</si>
  <si>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</si>
  <si>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</si>
  <si>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</si>
  <si>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</si>
  <si>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</si>
  <si>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</si>
  <si>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</si>
  <si>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</si>
  <si>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</si>
  <si>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</si>
  <si>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</si>
  <si>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</si>
  <si>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</si>
  <si>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</si>
  <si>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</si>
  <si>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</si>
  <si>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</si>
  <si>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</si>
  <si>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</si>
  <si>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</si>
  <si>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</si>
  <si>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</si>
  <si>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</si>
  <si>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</si>
  <si>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</si>
  <si>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</si>
  <si>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</si>
  <si>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</si>
  <si>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</si>
  <si>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</si>
  <si>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</si>
  <si>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</si>
  <si>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</si>
  <si>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</si>
  <si>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</si>
  <si>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</si>
  <si>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</si>
  <si>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</si>
  <si>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</si>
  <si>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</si>
  <si>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</si>
  <si>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</si>
  <si>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</si>
  <si>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</si>
  <si>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</si>
  <si>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</si>
  <si>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</si>
  <si>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</si>
  <si>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</si>
  <si>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</si>
  <si>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</si>
  <si>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</si>
  <si>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</si>
  <si>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</si>
  <si>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</si>
  <si>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</si>
  <si>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</si>
  <si>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</si>
  <si>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</si>
  <si>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</si>
  <si>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</si>
  <si>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</si>
  <si>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</si>
  <si>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</si>
  <si>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</si>
  <si>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</si>
  <si>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</si>
  <si>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</si>
  <si>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</si>
  <si>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</si>
  <si>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</si>
  <si>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</si>
  <si>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</si>
  <si>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</si>
  <si>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</si>
  <si>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</si>
  <si>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</si>
  <si>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</si>
  <si>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</si>
  <si>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</si>
  <si>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</si>
  <si>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</si>
  <si>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</si>
  <si>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</si>
  <si>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</si>
  <si>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</si>
  <si>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</si>
  <si>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</si>
  <si>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</si>
  <si>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</si>
  <si>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</si>
  <si>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</si>
  <si>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</si>
  <si>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</si>
  <si>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</si>
  <si>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</si>
  <si>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</si>
  <si>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</si>
  <si>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</si>
  <si>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</si>
  <si>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</si>
  <si>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</si>
  <si>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</si>
  <si>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</si>
  <si>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</si>
  <si>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</si>
  <si>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</si>
  <si>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</si>
  <si>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</si>
  <si>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</si>
  <si>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</si>
  <si>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</si>
  <si>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</si>
  <si>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</si>
  <si>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</si>
  <si>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</si>
  <si>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</si>
  <si>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</si>
  <si>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</si>
  <si>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</si>
  <si>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</si>
  <si>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</si>
  <si>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</si>
  <si>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</si>
  <si>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</si>
  <si>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</si>
  <si>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</si>
  <si>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</si>
  <si>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</si>
  <si>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</si>
  <si>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</si>
  <si>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</si>
  <si>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</si>
  <si>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</si>
  <si>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</si>
  <si>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</si>
  <si>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</si>
  <si>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</si>
  <si>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</si>
  <si>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</si>
  <si>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</si>
  <si>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</si>
  <si>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</si>
  <si>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</si>
  <si>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</si>
  <si>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</si>
  <si>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</si>
  <si>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</si>
  <si>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</si>
  <si>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</si>
  <si>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</si>
  <si>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</si>
  <si>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</si>
  <si>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</si>
  <si>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</si>
  <si>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</si>
  <si>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</si>
  <si>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</si>
  <si>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</si>
  <si>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</si>
  <si>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</si>
  <si>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</si>
  <si>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</si>
  <si>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</si>
  <si>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</si>
  <si>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</si>
  <si>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</si>
  <si>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</si>
  <si>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</si>
  <si>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</si>
  <si>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</si>
  <si>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</si>
  <si>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</si>
  <si>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</si>
  <si>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</si>
  <si>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</si>
  <si>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</si>
  <si>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</si>
  <si>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</si>
  <si>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</si>
  <si>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</si>
  <si>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</si>
  <si>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</si>
  <si>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</si>
  <si>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</si>
  <si>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</si>
  <si>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</si>
  <si>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</si>
  <si>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</si>
  <si>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</si>
  <si>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</si>
  <si>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</si>
  <si>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</si>
  <si>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</si>
  <si>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</si>
  <si>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</si>
  <si>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</si>
  <si>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</si>
  <si>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</si>
  <si>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</si>
  <si>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</si>
  <si>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</si>
  <si>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</si>
  <si>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</si>
  <si>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</si>
  <si>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</si>
  <si>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</si>
  <si>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</si>
  <si>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</si>
  <si>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</si>
  <si>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</si>
  <si>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</si>
  <si>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</si>
  <si>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</si>
  <si>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</si>
  <si>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</si>
  <si>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</si>
  <si>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</si>
  <si>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</si>
  <si>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</si>
  <si>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</si>
  <si>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</si>
  <si>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</si>
  <si>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</si>
  <si>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</si>
  <si>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</si>
  <si>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</si>
  <si>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</si>
  <si>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</si>
  <si>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</si>
  <si>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</si>
  <si>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</si>
  <si>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</si>
  <si>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</si>
  <si>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</si>
  <si>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</si>
  <si>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</si>
  <si>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</si>
  <si>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</si>
  <si>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</si>
  <si>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</si>
  <si>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</si>
  <si>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</si>
  <si>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</si>
  <si>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</si>
  <si>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</si>
  <si>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</si>
  <si>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</si>
  <si>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</si>
  <si>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</si>
  <si>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</si>
  <si>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</si>
  <si>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</si>
  <si>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</si>
  <si>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</si>
  <si>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</si>
  <si>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</si>
  <si>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</si>
  <si>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</si>
  <si>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</si>
  <si>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</si>
  <si>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</si>
  <si>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</si>
  <si>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</si>
  <si>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</si>
  <si>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</si>
  <si>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</si>
  <si>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</si>
  <si>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</si>
  <si>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</si>
  <si>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</si>
  <si>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</si>
  <si>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</si>
  <si>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</si>
  <si>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</si>
  <si>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</si>
  <si>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</si>
  <si>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</si>
  <si>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</si>
  <si>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</si>
  <si>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</si>
  <si>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</si>
  <si>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</si>
  <si>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</si>
  <si>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</si>
  <si>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</si>
  <si>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</si>
  <si>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</si>
  <si>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</si>
  <si>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</si>
  <si>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</si>
  <si>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</si>
  <si>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</si>
  <si>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</si>
  <si>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</si>
  <si>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</si>
  <si>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</si>
  <si>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</si>
  <si>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</si>
  <si>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</si>
  <si>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</si>
  <si>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</si>
  <si>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</si>
  <si>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</si>
  <si>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</si>
  <si>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</si>
  <si>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</si>
  <si>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</si>
  <si>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</si>
  <si>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</si>
  <si>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</si>
  <si>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</si>
  <si>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</si>
  <si>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</si>
  <si>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</si>
  <si>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</si>
  <si>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</si>
  <si>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</si>
  <si>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</si>
  <si>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</si>
  <si>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</si>
  <si>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</si>
  <si>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</si>
  <si>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</si>
  <si>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</si>
  <si>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</si>
  <si>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</si>
  <si>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</si>
  <si>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</si>
  <si>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</si>
  <si>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</si>
  <si>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</si>
  <si>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</si>
  <si>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</si>
  <si>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</si>
  <si>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</si>
  <si>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</si>
  <si>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</si>
  <si>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</si>
  <si>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</si>
  <si>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</si>
  <si>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</si>
  <si>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</si>
  <si>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</si>
  <si>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</si>
  <si>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</si>
  <si>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</si>
  <si>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</si>
  <si>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</si>
  <si>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</si>
  <si>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</si>
  <si>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</si>
  <si>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</si>
  <si>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</si>
  <si>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</si>
  <si>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</si>
  <si>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</si>
  <si>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</si>
  <si>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</si>
  <si>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</si>
  <si>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</si>
  <si>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</si>
  <si>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</si>
  <si>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</si>
  <si>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</si>
  <si>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</si>
  <si>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</si>
  <si>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</si>
  <si>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</si>
  <si>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</si>
  <si>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</si>
  <si>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</si>
  <si>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</si>
  <si>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</si>
  <si>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</si>
  <si>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</si>
  <si>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</si>
  <si>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</si>
  <si>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</si>
  <si>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</si>
  <si>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</si>
  <si>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</si>
  <si>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</si>
  <si>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</si>
  <si>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</si>
  <si>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</si>
  <si>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</si>
  <si>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</si>
  <si>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</si>
  <si>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</si>
  <si>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</si>
  <si>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</si>
  <si>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</si>
  <si>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</si>
  <si>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</si>
  <si>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</si>
  <si>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</si>
  <si>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</si>
  <si>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</si>
  <si>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</si>
  <si>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</si>
  <si>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</si>
  <si>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</si>
  <si>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</si>
  <si>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</si>
  <si>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</si>
  <si>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</si>
  <si>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</si>
  <si>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</si>
  <si>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</si>
  <si>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</si>
  <si>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</si>
  <si>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</si>
  <si>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</si>
  <si>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</si>
  <si>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</si>
  <si>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</si>
  <si>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</si>
  <si>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</si>
  <si>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</si>
  <si>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</si>
  <si>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</si>
  <si>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</si>
  <si>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</si>
  <si>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</si>
  <si>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</si>
  <si>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</si>
  <si>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</si>
  <si>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</si>
  <si>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</si>
  <si>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</si>
  <si>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</si>
  <si>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</si>
  <si>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</si>
  <si>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</si>
  <si>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</si>
  <si>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</si>
  <si>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</si>
  <si>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</si>
  <si>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</si>
  <si>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</si>
  <si>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</si>
  <si>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</si>
  <si>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</si>
  <si>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</si>
  <si>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</si>
  <si>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</si>
  <si>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</si>
  <si>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</si>
  <si>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</si>
  <si>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</si>
  <si>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</si>
  <si>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</si>
  <si>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</si>
  <si>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</si>
  <si>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</si>
  <si>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</si>
  <si>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</si>
  <si>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</si>
  <si>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</si>
  <si>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</si>
  <si>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</si>
  <si>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</si>
  <si>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</si>
  <si>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</si>
  <si>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</si>
  <si>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</si>
  <si>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</si>
  <si>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</si>
  <si>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</si>
  <si>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</si>
  <si>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</si>
  <si>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</si>
  <si>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</si>
  <si>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</si>
  <si>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</si>
  <si>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</si>
  <si>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</si>
  <si>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</si>
  <si>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</si>
  <si>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</si>
  <si>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</si>
  <si>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</si>
  <si>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</si>
  <si>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</si>
  <si>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</si>
  <si>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</si>
  <si>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</si>
  <si>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</si>
  <si>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</si>
  <si>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</si>
  <si>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</si>
  <si>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</si>
  <si>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</si>
  <si>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</si>
  <si>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</si>
  <si>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</si>
  <si>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</si>
  <si>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</si>
  <si>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</si>
  <si>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</si>
  <si>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</si>
  <si>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</si>
  <si>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</si>
  <si>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</si>
  <si>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</si>
  <si>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</si>
  <si>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</si>
  <si>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</si>
  <si>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</si>
  <si>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</si>
  <si>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</si>
  <si>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</si>
  <si>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</si>
  <si>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</si>
  <si>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</si>
  <si>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</si>
  <si>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</si>
  <si>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</si>
  <si>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</si>
  <si>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</si>
  <si>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</si>
  <si>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</si>
  <si>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</si>
  <si>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</si>
  <si>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</si>
  <si>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</si>
  <si>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</si>
  <si>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</si>
  <si>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</si>
  <si>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</si>
  <si>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</si>
  <si>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</si>
  <si>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</si>
  <si>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</si>
  <si>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</si>
  <si>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</si>
  <si>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</si>
  <si>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</si>
  <si>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</si>
  <si>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</si>
  <si>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</si>
  <si>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</si>
  <si>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</si>
  <si>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</si>
  <si>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</si>
  <si>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</si>
  <si>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</si>
  <si>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</si>
  <si>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</si>
  <si>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</si>
  <si>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</si>
  <si>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</si>
  <si>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</si>
  <si>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</si>
  <si>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</si>
  <si>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</si>
  <si>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</si>
  <si>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</si>
  <si>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</si>
  <si>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</si>
  <si>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</si>
  <si>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</si>
  <si>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</si>
  <si>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</si>
  <si>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</si>
  <si>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</si>
  <si>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</si>
  <si>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</si>
  <si>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</si>
  <si>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</si>
  <si>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</si>
  <si>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</si>
  <si>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</si>
  <si>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</si>
  <si>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</si>
  <si>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</si>
  <si>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</si>
  <si>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</si>
  <si>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</si>
  <si>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</si>
  <si>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</si>
  <si>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</si>
  <si>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</si>
  <si>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</si>
  <si>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</si>
  <si>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</si>
  <si>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</si>
  <si>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</si>
  <si>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</si>
  <si>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</si>
  <si>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</si>
  <si>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</si>
  <si>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</si>
  <si>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</si>
  <si>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</si>
  <si>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</si>
  <si>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</si>
  <si>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</si>
  <si>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</si>
  <si>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</si>
  <si>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</si>
  <si>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</si>
  <si>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</si>
  <si>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</si>
  <si>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</si>
  <si>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</si>
  <si>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</si>
  <si>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</si>
  <si>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</si>
  <si>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</si>
  <si>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</si>
  <si>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</si>
  <si>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</si>
  <si>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</si>
  <si>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</si>
  <si>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</si>
  <si>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</si>
  <si>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</si>
  <si>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</si>
  <si>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</si>
  <si>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</si>
  <si>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</si>
  <si>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</si>
  <si>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</si>
  <si>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</si>
  <si>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</si>
  <si>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</si>
  <si>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</si>
  <si>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</si>
  <si>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</si>
  <si>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</si>
  <si>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</si>
  <si>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</si>
  <si>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</si>
  <si>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</si>
  <si>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</si>
  <si>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</si>
  <si>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</si>
  <si>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</si>
  <si>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</si>
  <si>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</si>
  <si>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</si>
  <si>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</si>
  <si>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</si>
  <si>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</si>
  <si>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</si>
  <si>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</si>
  <si>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</si>
  <si>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</si>
  <si>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</si>
  <si>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</si>
  <si>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</si>
  <si>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</si>
  <si>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</si>
  <si>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</si>
  <si>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</si>
  <si>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</si>
  <si>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</si>
  <si>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</si>
  <si>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</si>
  <si>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</si>
  <si>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</si>
  <si>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</si>
  <si>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</si>
  <si>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</si>
  <si>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</si>
  <si>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</si>
  <si>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</si>
  <si>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</si>
  <si>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</si>
  <si>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</si>
  <si>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</si>
  <si>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</si>
  <si>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</si>
  <si>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</si>
  <si>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</si>
  <si>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</si>
  <si>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</si>
  <si>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</si>
  <si>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</si>
  <si>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</si>
  <si>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</si>
  <si>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</si>
  <si>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</si>
  <si>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</si>
  <si>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</si>
  <si>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</si>
  <si>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</si>
  <si>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</si>
  <si>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</si>
  <si>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</si>
  <si>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</si>
  <si>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</si>
  <si>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</si>
  <si>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</si>
  <si>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</si>
  <si>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</si>
  <si>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</si>
  <si>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</si>
  <si>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</si>
  <si>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</si>
  <si>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</si>
  <si>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</si>
  <si>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</si>
  <si>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</si>
  <si>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</si>
  <si>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</si>
  <si>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</si>
  <si>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</si>
  <si>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</si>
  <si>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</si>
  <si>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</si>
  <si>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</si>
  <si>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</si>
  <si>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</si>
  <si>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</si>
  <si>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</si>
  <si>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</si>
  <si>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</si>
  <si>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</si>
  <si>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</si>
  <si>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</si>
  <si>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</si>
  <si>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</si>
  <si>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</si>
  <si>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</si>
  <si>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</si>
  <si>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</si>
  <si>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</si>
  <si>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</si>
  <si>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</si>
  <si>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</si>
  <si>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</si>
  <si>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</si>
  <si>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</si>
  <si>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</si>
  <si>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</si>
  <si>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</si>
  <si>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ARAGON</t>
  </si>
  <si>
    <t>Provincias</t>
  </si>
  <si>
    <t>ZARAGOZA</t>
  </si>
  <si>
    <t>Resumenes por Partidos Judiciales</t>
  </si>
  <si>
    <t>CASPE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</si>
</sst>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jshEj/V2FkYyQdeW2zPsho3KjTYs2vkmFl+qb+E2pnwCF9/BT0Ls6ixDJm25HgM4XvYvcQtnpH1EDErz1m6mrA==" saltValue="vmKzHCWxQLHZdqD7reULi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ARAGON</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v>
      </c>
      <c r="D10" s="229">
        <f>IF(ISNUMBER(Datos!I10),Datos!I10," - ")</f>
        <v>3</v>
      </c>
      <c r="E10" s="230">
        <f>IF(ISNUMBER(Datos!J10),Datos!J10," - ")</f>
        <v>1</v>
      </c>
      <c r="F10" s="230">
        <f>IF(ISNUMBER(Datos!K10),Datos!K10," - ")</f>
        <v>0</v>
      </c>
      <c r="G10" s="1189" t="str">
        <f>IF(Datos!E10&lt;&gt;"",Datos!E10,Datos!D10)</f>
        <v>37</v>
      </c>
      <c r="H10" s="231">
        <f>IF(ISNUMBER(Datos!L10),Datos!L10," - ")</f>
        <v>4</v>
      </c>
      <c r="I10" s="1199" t="str">
        <f>IF(ISNUMBER(Datos!AS10/Datos!BM10),Datos!AS10/Datos!BM10," - ")</f>
        <v xml:space="preserve"> - </v>
      </c>
      <c r="J10" s="1200">
        <f>IF(ISNUMBER(Datos!BY10/Datos!CN10),Datos!BY10/Datos!CN10," - ")</f>
        <v>0</v>
      </c>
      <c r="K10" s="234">
        <f t="shared" ref="K10:K12" si="1">IF(ISNUMBER((E10-F10)/C10),(E10-F10)/C10," - ")</f>
        <v>0.33333333333333331</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105.80952380952381</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v>
      </c>
      <c r="D13" s="1206">
        <f>SUBTOTAL(9,D9:D12)</f>
        <v>3</v>
      </c>
      <c r="E13" s="1207">
        <f>SUBTOTAL(9,E9:E12)</f>
        <v>1</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257</v>
      </c>
      <c r="D16" s="229">
        <f>IF(ISNUMBER(IF(D_I="SI",Datos!I16,Datos!I16+Datos!AC16)),IF(D_I="SI",Datos!I16,Datos!I16+Datos!AC16)," - ")</f>
        <v>255</v>
      </c>
      <c r="E16" s="230">
        <f>IF(ISNUMBER(IF(D_I="SI",Datos!J16,Datos!J16+Datos!AD16)),IF(D_I="SI",Datos!J16,Datos!J16+Datos!AD16)," - ")</f>
        <v>232</v>
      </c>
      <c r="F16" s="230">
        <f>IF(ISNUMBER(IF(D_I="SI",Datos!K16,Datos!K16+Datos!AE16)),IF(D_I="SI",Datos!K16,Datos!K16+Datos!AE16)," - ")</f>
        <v>210</v>
      </c>
      <c r="G16" s="1189" t="str">
        <f>IF(Datos!E16&lt;&gt;"",Datos!E16,Datos!D16)</f>
        <v>04</v>
      </c>
      <c r="H16" s="231">
        <f>IF(ISNUMBER(IF(D_I="SI",Datos!L16,Datos!L16+Datos!AF16)),IF(D_I="SI",Datos!L16,Datos!L16+Datos!AF16)," - ")</f>
        <v>279</v>
      </c>
      <c r="I16" s="1199" t="str">
        <f>IF(ISNUMBER(Datos!AS16/Datos!BM16),Datos!AS16/Datos!BM16," - ")</f>
        <v xml:space="preserve"> - </v>
      </c>
      <c r="J16" s="1200">
        <f>IF(ISNUMBER(Datos!BY16/Datos!CN16),Datos!BY16/Datos!CN16," - ")</f>
        <v>0</v>
      </c>
      <c r="K16" s="234">
        <f t="shared" si="3"/>
        <v>8.5603112840466927E-2</v>
      </c>
      <c r="L16" s="1201">
        <f>IF(ISNUMBER(NºAsuntos!I16/NºAsuntos!G16),(NºAsuntos!I16/NºAsuntos!G16)*11," - ")</f>
        <v>14.614285714285714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11</v>
      </c>
      <c r="D17" s="229">
        <f>IF(ISNUMBER(IF(D_I="SI",Datos!I17,Datos!I17+Datos!AC17)),IF(D_I="SI",Datos!I17,Datos!I17+Datos!AC17)," - ")</f>
        <v>11</v>
      </c>
      <c r="E17" s="230">
        <f>IF(ISNUMBER(IF(D_I="SI",Datos!J17,Datos!J17+Datos!AD17)),IF(D_I="SI",Datos!J17,Datos!J17+Datos!AD17)," - ")</f>
        <v>32</v>
      </c>
      <c r="F17" s="230">
        <f>IF(ISNUMBER(IF(D_I="SI",Datos!K17,Datos!K17+Datos!AE17)),IF(D_I="SI",Datos!K17,Datos!K17+Datos!AE17)," - ")</f>
        <v>29</v>
      </c>
      <c r="G17" s="1189" t="str">
        <f>IF(Datos!E17&lt;&gt;"",Datos!E17,Datos!D17)</f>
        <v>37</v>
      </c>
      <c r="H17" s="231">
        <f>IF(ISNUMBER(IF(D_I="SI",Datos!L17,Datos!L17+Datos!AF17)),IF(D_I="SI",Datos!L17,Datos!L17+Datos!AF17)," - ")</f>
        <v>14</v>
      </c>
      <c r="I17" s="1199" t="str">
        <f>IF(ISNUMBER(Datos!AS17/Datos!BM17),Datos!AS17/Datos!BM17," - ")</f>
        <v xml:space="preserve"> - </v>
      </c>
      <c r="J17" s="1200" t="str">
        <f>IF(ISNUMBER((Datos!BY17+Datos!BZ17)/Datos!CN17),(Datos!BY17+Datos!BZ17)/Datos!CN17," - ")</f>
        <v xml:space="preserve"> - </v>
      </c>
      <c r="K17" s="234">
        <f t="shared" si="3"/>
        <v>0.27272727272727271</v>
      </c>
      <c r="L17" s="1201">
        <f>IF(ISNUMBER(NºAsuntos!I17/NºAsuntos!G17),(NºAsuntos!I17/NºAsuntos!G17)*11," - ")</f>
        <v>5.3103448275862073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268</v>
      </c>
      <c r="D18" s="1206">
        <f>SUBTOTAL(9,D15:D17)</f>
        <v>266</v>
      </c>
      <c r="E18" s="1207">
        <f>SUBTOTAL(9,E15:E17)</f>
        <v>264</v>
      </c>
      <c r="F18" s="1207">
        <f>SUBTOTAL(9,F15:F17)</f>
        <v>239</v>
      </c>
      <c r="G18" s="1209" t="str">
        <f ca="1">INDIRECT(CONCATENATE("G",ROW()-1))</f>
        <v>37</v>
      </c>
      <c r="H18" s="1210">
        <f ca="1">SUMIF(G$14:G17,G18,H$14:H17)</f>
        <v>14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271</v>
      </c>
      <c r="D19" s="1228">
        <f>SUBTOTAL(9,D9:D18)</f>
        <v>269</v>
      </c>
      <c r="E19" s="1229">
        <f>SUBTOTAL(9,E9:E18)</f>
        <v>265</v>
      </c>
      <c r="F19" s="1229">
        <f>SUBTOTAL(9,F9:F18)</f>
        <v>239</v>
      </c>
      <c r="G19" s="1230"/>
      <c r="H19" s="1231">
        <f ca="1">SUMIF(B9:B18,"TOTAL",H9:H18)</f>
        <v>14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YilVgwf0DAAV9g9uzn4HCwxmQ5Z516aIsH8j2HKRR8vHTCrUvTlT/gAjMHwWp9zEUYWPRbAASXrinumSiWnqRA==" saltValue="ImMOjQ/SQZAHeNSzrv4Et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b6eYmE5KVz2VnNydSJCBnZ2iYojBA9QleqwZGnvJs5mhKLiiElO3pTMcAIFDJxHtac00/S9V5geCTKhf/JkX4Q==" saltValue="qwWtYFekbmNb2I7Juu3kc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v>
      </c>
      <c r="J10" s="185">
        <v>1</v>
      </c>
      <c r="K10" s="185">
        <v>0</v>
      </c>
      <c r="L10" s="185">
        <v>4</v>
      </c>
      <c r="M10" s="185">
        <v>0</v>
      </c>
      <c r="N10" s="185">
        <v>0</v>
      </c>
      <c r="O10" s="185">
        <v>0</v>
      </c>
      <c r="P10" s="185">
        <v>0</v>
      </c>
      <c r="Q10" s="185">
        <v>0</v>
      </c>
      <c r="R10" s="185">
        <v>0</v>
      </c>
      <c r="S10" s="185">
        <v>7</v>
      </c>
      <c r="T10" s="185">
        <v>3</v>
      </c>
      <c r="U10" s="185">
        <v>0</v>
      </c>
      <c r="V10" s="185">
        <v>10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7</v>
      </c>
      <c r="AZ10" s="130">
        <f t="shared" si="0"/>
        <v>3</v>
      </c>
      <c r="BA10" s="130">
        <f t="shared" si="0"/>
        <v>0</v>
      </c>
      <c r="BB10" s="130">
        <f t="shared" si="0"/>
        <v>10</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585</v>
      </c>
      <c r="J12" s="187">
        <v>67</v>
      </c>
      <c r="K12" s="187">
        <v>61</v>
      </c>
      <c r="L12" s="187">
        <v>591</v>
      </c>
      <c r="M12" s="187">
        <v>16</v>
      </c>
      <c r="N12" s="187">
        <v>22</v>
      </c>
      <c r="O12" s="185">
        <v>11</v>
      </c>
      <c r="P12" s="187">
        <v>24</v>
      </c>
      <c r="Q12" s="187">
        <v>20</v>
      </c>
      <c r="R12" s="187">
        <v>438</v>
      </c>
      <c r="S12" s="187">
        <v>331</v>
      </c>
      <c r="T12" s="187">
        <v>136</v>
      </c>
      <c r="U12" s="187">
        <v>77</v>
      </c>
      <c r="V12" s="187">
        <v>391</v>
      </c>
      <c r="W12" s="187">
        <v>23</v>
      </c>
      <c r="X12" s="193">
        <v>40</v>
      </c>
      <c r="Y12" s="195">
        <v>16</v>
      </c>
      <c r="Z12" s="185">
        <v>1</v>
      </c>
      <c r="AA12" s="185">
        <v>2</v>
      </c>
      <c r="AB12" s="185">
        <v>15</v>
      </c>
      <c r="AC12" s="187">
        <v>0</v>
      </c>
      <c r="AD12" s="187">
        <v>0</v>
      </c>
      <c r="AE12" s="187">
        <v>0</v>
      </c>
      <c r="AF12" s="193">
        <v>0</v>
      </c>
      <c r="AG12" s="206">
        <v>9</v>
      </c>
      <c r="AH12" s="187">
        <v>6</v>
      </c>
      <c r="AI12" s="187">
        <v>12</v>
      </c>
      <c r="AJ12" s="207">
        <v>3</v>
      </c>
      <c r="AK12" s="186">
        <v>0</v>
      </c>
      <c r="AL12" s="187">
        <v>0</v>
      </c>
      <c r="AM12" s="187">
        <v>0</v>
      </c>
      <c r="AN12" s="193">
        <v>0</v>
      </c>
      <c r="AO12" s="263">
        <v>1</v>
      </c>
      <c r="AP12" s="159">
        <v>1</v>
      </c>
      <c r="AQ12" s="159">
        <v>1</v>
      </c>
      <c r="AR12" s="158">
        <v>1</v>
      </c>
      <c r="AS12" s="349" t="s">
        <v>811</v>
      </c>
      <c r="AT12" s="207"/>
      <c r="AU12" s="206"/>
      <c r="AV12" s="207"/>
      <c r="AW12" s="206"/>
      <c r="AX12" s="207"/>
      <c r="AY12" s="127">
        <f t="shared" si="1"/>
        <v>340</v>
      </c>
      <c r="AZ12" s="128">
        <f t="shared" si="1"/>
        <v>142</v>
      </c>
      <c r="BA12" s="128">
        <f t="shared" si="1"/>
        <v>89</v>
      </c>
      <c r="BB12" s="128">
        <f t="shared" si="1"/>
        <v>394</v>
      </c>
      <c r="BC12" s="126">
        <f>IF(ISNUMBER(X12),X12," - ")</f>
        <v>40</v>
      </c>
      <c r="BD12" s="127">
        <f t="shared" si="2"/>
        <v>0.62676056338028174</v>
      </c>
      <c r="BE12" s="128">
        <f t="shared" si="3"/>
        <v>4.4269662921348312</v>
      </c>
      <c r="BF12" s="128">
        <f t="shared" si="4"/>
        <v>0.449438202247191</v>
      </c>
      <c r="BG12" s="200">
        <f t="shared" si="5"/>
        <v>5.415730337078652</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588</v>
      </c>
      <c r="J13" s="188">
        <f t="shared" si="6"/>
        <v>68</v>
      </c>
      <c r="K13" s="188">
        <f t="shared" si="6"/>
        <v>61</v>
      </c>
      <c r="L13" s="188">
        <f t="shared" si="6"/>
        <v>595</v>
      </c>
      <c r="M13" s="188">
        <f t="shared" si="6"/>
        <v>16</v>
      </c>
      <c r="N13" s="188">
        <f t="shared" si="6"/>
        <v>22</v>
      </c>
      <c r="O13" s="188">
        <f t="shared" si="6"/>
        <v>11</v>
      </c>
      <c r="P13" s="188">
        <f t="shared" si="6"/>
        <v>24</v>
      </c>
      <c r="Q13" s="188">
        <f t="shared" si="6"/>
        <v>20</v>
      </c>
      <c r="R13" s="188">
        <f t="shared" si="6"/>
        <v>438</v>
      </c>
      <c r="S13" s="188">
        <f t="shared" si="6"/>
        <v>338</v>
      </c>
      <c r="T13" s="188">
        <f t="shared" si="6"/>
        <v>139</v>
      </c>
      <c r="U13" s="188">
        <f t="shared" si="6"/>
        <v>77</v>
      </c>
      <c r="V13" s="188">
        <f t="shared" si="6"/>
        <v>401</v>
      </c>
      <c r="W13" s="188">
        <f t="shared" si="6"/>
        <v>23</v>
      </c>
      <c r="X13" s="188">
        <f t="shared" si="6"/>
        <v>40</v>
      </c>
      <c r="Y13" s="188">
        <f t="shared" si="6"/>
        <v>16</v>
      </c>
      <c r="Z13" s="188">
        <f t="shared" si="6"/>
        <v>1</v>
      </c>
      <c r="AA13" s="188">
        <f t="shared" si="6"/>
        <v>2</v>
      </c>
      <c r="AB13" s="188">
        <f t="shared" si="6"/>
        <v>15</v>
      </c>
      <c r="AC13" s="188">
        <f t="shared" si="6"/>
        <v>0</v>
      </c>
      <c r="AD13" s="188">
        <f t="shared" si="6"/>
        <v>0</v>
      </c>
      <c r="AE13" s="188">
        <f t="shared" si="6"/>
        <v>0</v>
      </c>
      <c r="AF13" s="188">
        <f>SUBTOTAL(9,AF9:AF12)</f>
        <v>0</v>
      </c>
      <c r="AG13" s="188">
        <f t="shared" ref="AG13:AT13" si="7">SUBTOTAL(9,AG8:AG12)</f>
        <v>9</v>
      </c>
      <c r="AH13" s="188">
        <f t="shared" si="7"/>
        <v>6</v>
      </c>
      <c r="AI13" s="188">
        <f t="shared" si="7"/>
        <v>12</v>
      </c>
      <c r="AJ13" s="188">
        <f t="shared" si="7"/>
        <v>3</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347</v>
      </c>
      <c r="AZ13" s="188">
        <f>SUBTOTAL(9,AZ8:AZ12)</f>
        <v>145</v>
      </c>
      <c r="BA13" s="188">
        <f>SUBTOTAL(9,BA8:BA12)</f>
        <v>89</v>
      </c>
      <c r="BB13" s="188">
        <f>SUBTOTAL(9,BB8:BB12)</f>
        <v>404</v>
      </c>
      <c r="BC13" s="188">
        <f>SUBTOTAL(9,BC8:BC12)</f>
        <v>40</v>
      </c>
      <c r="BD13" s="209">
        <f>IF(ISNUMBER(BA13/AZ13),BA13/AZ13," - ")</f>
        <v>0.61379310344827587</v>
      </c>
      <c r="BE13" s="210">
        <f>IF(ISNUMBER(BB13/BA13),BB13/BA13, " - ")</f>
        <v>4.5393258426966296</v>
      </c>
      <c r="BF13" s="210">
        <f>IF(ISNUMBER(BC13/BA13),BC13/BA13, " - ")</f>
        <v>0.449438202247191</v>
      </c>
      <c r="BG13" s="211">
        <f>IF(ISNUMBER((AY13+AZ13)/BA13),(AY13+AZ13)/BA13," - ")</f>
        <v>5.5280898876404496</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255</v>
      </c>
      <c r="J16" s="187">
        <v>232</v>
      </c>
      <c r="K16" s="187">
        <v>210</v>
      </c>
      <c r="L16" s="187">
        <v>279</v>
      </c>
      <c r="M16" s="187">
        <v>17</v>
      </c>
      <c r="N16" s="187">
        <v>120</v>
      </c>
      <c r="O16" s="185">
        <v>1</v>
      </c>
      <c r="P16" s="187">
        <v>3</v>
      </c>
      <c r="Q16" s="187">
        <v>1</v>
      </c>
      <c r="R16" s="187">
        <v>34</v>
      </c>
      <c r="S16" s="187">
        <v>275</v>
      </c>
      <c r="T16" s="187">
        <v>252</v>
      </c>
      <c r="U16" s="187">
        <v>251</v>
      </c>
      <c r="V16" s="187">
        <v>285</v>
      </c>
      <c r="W16" s="187">
        <v>22</v>
      </c>
      <c r="X16" s="193">
        <v>130</v>
      </c>
      <c r="Y16" s="206">
        <v>0</v>
      </c>
      <c r="Z16" s="187">
        <v>0</v>
      </c>
      <c r="AA16" s="187">
        <v>0</v>
      </c>
      <c r="AB16" s="187">
        <v>0</v>
      </c>
      <c r="AC16" s="187">
        <v>3</v>
      </c>
      <c r="AD16" s="187">
        <v>3</v>
      </c>
      <c r="AE16" s="187">
        <v>4</v>
      </c>
      <c r="AF16" s="193">
        <v>2</v>
      </c>
      <c r="AG16" s="206">
        <v>0</v>
      </c>
      <c r="AH16" s="187">
        <v>0</v>
      </c>
      <c r="AI16" s="187">
        <v>0</v>
      </c>
      <c r="AJ16" s="207">
        <v>0</v>
      </c>
      <c r="AK16" s="186">
        <v>1</v>
      </c>
      <c r="AL16" s="187">
        <v>2</v>
      </c>
      <c r="AM16" s="187">
        <v>0</v>
      </c>
      <c r="AN16" s="193">
        <v>3</v>
      </c>
      <c r="AO16" s="263">
        <v>1</v>
      </c>
      <c r="AP16" s="159">
        <v>1</v>
      </c>
      <c r="AQ16" s="159">
        <v>1</v>
      </c>
      <c r="AR16" s="159">
        <v>1</v>
      </c>
      <c r="AS16" s="349" t="s">
        <v>491</v>
      </c>
      <c r="AT16" s="207"/>
      <c r="AU16" s="206"/>
      <c r="AV16" s="207"/>
      <c r="AW16" s="206"/>
      <c r="AX16" s="207"/>
      <c r="AY16" s="127">
        <f t="shared" si="9"/>
        <v>275</v>
      </c>
      <c r="AZ16" s="128">
        <f t="shared" si="9"/>
        <v>252</v>
      </c>
      <c r="BA16" s="128">
        <f t="shared" si="9"/>
        <v>251</v>
      </c>
      <c r="BB16" s="128">
        <f t="shared" si="9"/>
        <v>285</v>
      </c>
      <c r="BC16" s="126">
        <f>IF(ISNUMBER(W16),W16," - ")</f>
        <v>22</v>
      </c>
      <c r="BD16" s="127">
        <f t="shared" ref="BD16" si="11">IF(ISNUMBER(BA16/AZ16),BA16/AZ16," - ")</f>
        <v>0.99603174603174605</v>
      </c>
      <c r="BE16" s="128">
        <f t="shared" ref="BE16" si="12">IF(ISNUMBER(BB16/BA16),BB16/BA16, " - ")</f>
        <v>1.1354581673306774</v>
      </c>
      <c r="BF16" s="128">
        <f t="shared" ref="BF16" si="13">IF(ISNUMBER(BC16/BA16),BC16/BA16, " - ")</f>
        <v>8.7649402390438252E-2</v>
      </c>
      <c r="BG16" s="200">
        <f t="shared" si="10"/>
        <v>2.0996015936254979</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11</v>
      </c>
      <c r="J17" s="187">
        <v>32</v>
      </c>
      <c r="K17" s="187">
        <v>29</v>
      </c>
      <c r="L17" s="187">
        <v>14</v>
      </c>
      <c r="M17" s="187">
        <v>3</v>
      </c>
      <c r="N17" s="187">
        <v>23</v>
      </c>
      <c r="O17" s="187">
        <v>0</v>
      </c>
      <c r="P17" s="187">
        <v>0</v>
      </c>
      <c r="Q17" s="187">
        <v>0</v>
      </c>
      <c r="R17" s="187">
        <v>0</v>
      </c>
      <c r="S17" s="187">
        <v>10</v>
      </c>
      <c r="T17" s="187">
        <v>41</v>
      </c>
      <c r="U17" s="187">
        <v>34</v>
      </c>
      <c r="V17" s="187">
        <v>18</v>
      </c>
      <c r="W17" s="187">
        <v>2</v>
      </c>
      <c r="X17" s="193">
        <v>21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10</v>
      </c>
      <c r="AZ17" s="130">
        <f t="shared" si="14"/>
        <v>41</v>
      </c>
      <c r="BA17" s="130">
        <f t="shared" si="14"/>
        <v>34</v>
      </c>
      <c r="BB17" s="130">
        <f t="shared" si="14"/>
        <v>18</v>
      </c>
      <c r="BC17" s="126">
        <f>IF(ISNUMBER(W17),W17," - ")</f>
        <v>2</v>
      </c>
      <c r="BD17" s="127">
        <f>IF(ISNUMBER(BA17/AZ17),BA17/AZ17," - ")</f>
        <v>0.82926829268292679</v>
      </c>
      <c r="BE17" s="128">
        <f>IF(ISNUMBER(BB17/BA17),BB17/BA17, " - ")</f>
        <v>0.52941176470588236</v>
      </c>
      <c r="BF17" s="128">
        <f>IF(ISNUMBER(BC17/BA17),BC17/BA17, " - ")</f>
        <v>5.8823529411764705E-2</v>
      </c>
      <c r="BG17" s="200">
        <f>IF(ISNUMBER((AY17+AZ17)/BA17),(AY17+AZ17)/BA17," - ")</f>
        <v>1.5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266</v>
      </c>
      <c r="J18" s="188">
        <f t="shared" si="15"/>
        <v>264</v>
      </c>
      <c r="K18" s="188">
        <f t="shared" si="15"/>
        <v>239</v>
      </c>
      <c r="L18" s="188">
        <f t="shared" si="15"/>
        <v>293</v>
      </c>
      <c r="M18" s="188">
        <f t="shared" si="15"/>
        <v>20</v>
      </c>
      <c r="N18" s="188">
        <f t="shared" si="15"/>
        <v>143</v>
      </c>
      <c r="O18" s="188">
        <f t="shared" si="15"/>
        <v>1</v>
      </c>
      <c r="P18" s="188">
        <f t="shared" si="15"/>
        <v>3</v>
      </c>
      <c r="Q18" s="188">
        <f t="shared" si="15"/>
        <v>1</v>
      </c>
      <c r="R18" s="188">
        <f t="shared" si="15"/>
        <v>34</v>
      </c>
      <c r="S18" s="188">
        <f t="shared" si="15"/>
        <v>285</v>
      </c>
      <c r="T18" s="188">
        <f t="shared" si="15"/>
        <v>293</v>
      </c>
      <c r="U18" s="188">
        <f t="shared" si="15"/>
        <v>285</v>
      </c>
      <c r="V18" s="188">
        <f t="shared" si="15"/>
        <v>303</v>
      </c>
      <c r="W18" s="188">
        <f t="shared" si="15"/>
        <v>24</v>
      </c>
      <c r="X18" s="188">
        <f t="shared" si="15"/>
        <v>151</v>
      </c>
      <c r="Y18" s="188">
        <f t="shared" si="15"/>
        <v>0</v>
      </c>
      <c r="Z18" s="188">
        <f t="shared" si="15"/>
        <v>0</v>
      </c>
      <c r="AA18" s="188">
        <f t="shared" si="15"/>
        <v>0</v>
      </c>
      <c r="AB18" s="188">
        <f t="shared" si="15"/>
        <v>0</v>
      </c>
      <c r="AC18" s="188">
        <f t="shared" si="15"/>
        <v>3</v>
      </c>
      <c r="AD18" s="188">
        <f t="shared" si="15"/>
        <v>3</v>
      </c>
      <c r="AE18" s="188">
        <f t="shared" si="15"/>
        <v>4</v>
      </c>
      <c r="AF18" s="188">
        <f t="shared" si="15"/>
        <v>2</v>
      </c>
      <c r="AG18" s="188">
        <f t="shared" si="15"/>
        <v>0</v>
      </c>
      <c r="AH18" s="188">
        <f t="shared" si="15"/>
        <v>0</v>
      </c>
      <c r="AI18" s="188">
        <f t="shared" si="15"/>
        <v>0</v>
      </c>
      <c r="AJ18" s="188">
        <f t="shared" si="15"/>
        <v>0</v>
      </c>
      <c r="AK18" s="188">
        <f t="shared" si="15"/>
        <v>1</v>
      </c>
      <c r="AL18" s="188">
        <f t="shared" si="15"/>
        <v>2</v>
      </c>
      <c r="AM18" s="188">
        <f t="shared" si="15"/>
        <v>0</v>
      </c>
      <c r="AN18" s="188">
        <f t="shared" si="15"/>
        <v>3</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285</v>
      </c>
      <c r="AZ18" s="188">
        <f>SUBTOTAL(9,AZ14:AZ17)</f>
        <v>293</v>
      </c>
      <c r="BA18" s="188">
        <f>SUBTOTAL(9,BA14:BA17)</f>
        <v>285</v>
      </c>
      <c r="BB18" s="188">
        <f>SUBTOTAL(9,BB14:BB17)</f>
        <v>303</v>
      </c>
      <c r="BC18" s="188">
        <f>SUBTOTAL(9,BC14:BC17)</f>
        <v>24</v>
      </c>
      <c r="BD18" s="209">
        <f>IF(ISNUMBER(BA18/AZ18),BA18/AZ18," - ")</f>
        <v>0.97269624573378843</v>
      </c>
      <c r="BE18" s="210">
        <f>IF(ISNUMBER(BB18/BA18),BB18/BA18, " - ")</f>
        <v>1.0631578947368421</v>
      </c>
      <c r="BF18" s="210">
        <f>IF(ISNUMBER(BC18/BA18),BC18/BA18, " - ")</f>
        <v>8.4210526315789472E-2</v>
      </c>
      <c r="BG18" s="211">
        <f>IF(ISNUMBER((AY18+AZ18)/BA18),(AY18+AZ18)/BA18," - ")</f>
        <v>2.0280701754385966</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854</v>
      </c>
      <c r="J19" s="135">
        <f t="shared" si="18"/>
        <v>332</v>
      </c>
      <c r="K19" s="135">
        <f t="shared" si="18"/>
        <v>300</v>
      </c>
      <c r="L19" s="135">
        <f t="shared" si="18"/>
        <v>888</v>
      </c>
      <c r="M19" s="135">
        <f t="shared" si="18"/>
        <v>36</v>
      </c>
      <c r="N19" s="135">
        <f t="shared" si="18"/>
        <v>165</v>
      </c>
      <c r="O19" s="135">
        <f t="shared" si="18"/>
        <v>12</v>
      </c>
      <c r="P19" s="135">
        <f t="shared" si="18"/>
        <v>27</v>
      </c>
      <c r="Q19" s="135">
        <f t="shared" si="18"/>
        <v>21</v>
      </c>
      <c r="R19" s="135">
        <f t="shared" si="18"/>
        <v>472</v>
      </c>
      <c r="S19" s="135">
        <f t="shared" si="18"/>
        <v>623</v>
      </c>
      <c r="T19" s="135">
        <f t="shared" si="18"/>
        <v>432</v>
      </c>
      <c r="U19" s="135">
        <f t="shared" si="18"/>
        <v>362</v>
      </c>
      <c r="V19" s="135">
        <f t="shared" si="18"/>
        <v>704</v>
      </c>
      <c r="W19" s="135">
        <f t="shared" si="18"/>
        <v>47</v>
      </c>
      <c r="X19" s="135">
        <f t="shared" si="18"/>
        <v>191</v>
      </c>
      <c r="Y19" s="135">
        <f t="shared" si="18"/>
        <v>16</v>
      </c>
      <c r="Z19" s="135">
        <f t="shared" si="18"/>
        <v>1</v>
      </c>
      <c r="AA19" s="135">
        <f t="shared" si="18"/>
        <v>2</v>
      </c>
      <c r="AB19" s="135">
        <f t="shared" si="18"/>
        <v>15</v>
      </c>
      <c r="AC19" s="135">
        <f t="shared" si="18"/>
        <v>3</v>
      </c>
      <c r="AD19" s="135">
        <f t="shared" si="18"/>
        <v>3</v>
      </c>
      <c r="AE19" s="135">
        <f t="shared" si="18"/>
        <v>4</v>
      </c>
      <c r="AF19" s="135">
        <f t="shared" si="18"/>
        <v>2</v>
      </c>
      <c r="AG19" s="135">
        <f t="shared" si="18"/>
        <v>9</v>
      </c>
      <c r="AH19" s="135">
        <f t="shared" si="18"/>
        <v>6</v>
      </c>
      <c r="AI19" s="135">
        <f t="shared" si="18"/>
        <v>12</v>
      </c>
      <c r="AJ19" s="135">
        <f t="shared" si="18"/>
        <v>3</v>
      </c>
      <c r="AK19" s="135">
        <f t="shared" si="18"/>
        <v>1</v>
      </c>
      <c r="AL19" s="135">
        <f t="shared" si="18"/>
        <v>2</v>
      </c>
      <c r="AM19" s="135">
        <f t="shared" si="18"/>
        <v>0</v>
      </c>
      <c r="AN19" s="214">
        <f t="shared" si="18"/>
        <v>3</v>
      </c>
      <c r="AO19" s="215">
        <v>2</v>
      </c>
      <c r="AP19" s="215">
        <v>1</v>
      </c>
      <c r="AQ19" s="215">
        <v>1</v>
      </c>
      <c r="AR19" s="215">
        <v>1</v>
      </c>
      <c r="AS19" s="157">
        <f t="shared" si="18"/>
        <v>0</v>
      </c>
      <c r="AT19" s="157">
        <f t="shared" si="18"/>
        <v>0</v>
      </c>
      <c r="AU19" s="215"/>
      <c r="AV19" s="216"/>
      <c r="AW19" s="215"/>
      <c r="AX19" s="216"/>
      <c r="AY19" s="134">
        <f>SUBTOTAL(9,AY9:AY18)</f>
        <v>632</v>
      </c>
      <c r="AZ19" s="135">
        <f>SUBTOTAL(9,AZ9:AZ18)</f>
        <v>438</v>
      </c>
      <c r="BA19" s="135">
        <f>SUBTOTAL(9,BA9:BA18)</f>
        <v>374</v>
      </c>
      <c r="BB19" s="135">
        <f>SUBTOTAL(9,BB9:BB18)</f>
        <v>707</v>
      </c>
      <c r="BC19" s="136">
        <f>SUBTOTAL(9,BC9:BC18)</f>
        <v>64</v>
      </c>
      <c r="BD19" s="217">
        <f>IF(ISNUMBER(BA19/AZ19),BA19/AZ19," - ")</f>
        <v>0.85388127853881279</v>
      </c>
      <c r="BE19" s="214">
        <f>IF(ISNUMBER(BB19/BA19),BB19/BA19, " - ")</f>
        <v>1.8903743315508021</v>
      </c>
      <c r="BF19" s="214">
        <f>IF(ISNUMBER(BC19/BA19),BC19/BA19, " - ")</f>
        <v>0.17112299465240641</v>
      </c>
      <c r="BG19" s="136">
        <f>IF(ISNUMBER((AY19+AZ19)/BA19),(AY19+AZ19)/BA19," - ")</f>
        <v>2.8609625668449197</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IwLYzlew2BrXbqg1YOjY0atWblpBhjydy/xoobLioq7f1tjAsGnW6sLA7YnqHCBTF02ycs4zXZWLaQVb3nTtA==" saltValue="AbDeGpQtjvJOkV1+usPuV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IwLlBQ16fWCPcjtXnCEi6EM2Qx7uXg+FUR1psLm+7FAKd4eQNQmlgtBcPxuhzlBRVjTBg5LCPUah4mLvYhJIw==" saltValue="EbYxLGVdTPLu6bKC04YZO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ARAGON</v>
      </c>
      <c r="F1" s="531"/>
    </row>
    <row r="2" spans="1:74" ht="16.5" customHeight="1">
      <c r="C2" s="520" t="str">
        <f>Criterios!A10 &amp;"  "&amp;Criterios!B10 &amp; "  " &amp; IF(NOT(ISBLANK(Criterios!A11)),Criterios!A11 &amp;"  "&amp;Criterios!B11,"")</f>
        <v>Provincias  ZARAGOZA  Resumenes por Partidos Judiciales  CASPE</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v>
      </c>
      <c r="G10" s="497">
        <f>IF(ISNUMBER(Datos!I10),Datos!I10," - ")</f>
        <v>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4</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v>
      </c>
      <c r="O12" s="503"/>
      <c r="P12" s="503"/>
      <c r="Q12" s="501">
        <f>IF(ISNUMBER(Datos!P12),Datos!P12,0)</f>
        <v>24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15</v>
      </c>
      <c r="AI12" s="503" t="str">
        <f>IF(ISNUMBER(Datos!CD12),Datos!CD12,"-")</f>
        <v>-</v>
      </c>
      <c r="AJ12" s="503" t="str">
        <f>IF(ISNUMBER(Datos!EN12),Datos!EN12," - ")</f>
        <v xml:space="preserve"> - </v>
      </c>
      <c r="AK12" s="503"/>
      <c r="AL12" s="504"/>
      <c r="AM12" s="671">
        <f>IF(ISNUMBER(Datos!R12),Datos!R12," - ")</f>
        <v>438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16</v>
      </c>
      <c r="BD12" s="619">
        <f>IF(ISNUMBER(Datos!N12),Datos!N12," - ")</f>
        <v>22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0.92647058823529416</v>
      </c>
      <c r="BH12" s="669">
        <f>IF(ISNUMBER(((IF(J_V="SI",Datos!L12/Datos!K12,(Datos!L12+Datos!AB12)/(Datos!K12+Datos!AA12)))*11)/factor_trimestre),((IF(J_V="SI",Datos!L12/Datos!K12,(Datos!L12+Datos!AB12)/(Datos!K12+Datos!AA12)))*11)/factor_trimestre," - ")</f>
        <v>19.238095238095237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9.2165898617511521E-3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3</v>
      </c>
      <c r="G13" s="1044">
        <f t="shared" si="0"/>
        <v>3</v>
      </c>
      <c r="H13" s="1045">
        <f t="shared" si="0"/>
        <v>0</v>
      </c>
      <c r="I13" s="1044">
        <f t="shared" si="0"/>
        <v>0</v>
      </c>
      <c r="J13" s="1013">
        <f t="shared" si="0"/>
        <v>0</v>
      </c>
      <c r="K13" s="1013">
        <f t="shared" si="0"/>
        <v>0</v>
      </c>
      <c r="L13" s="1045">
        <f t="shared" si="0"/>
        <v>0</v>
      </c>
      <c r="M13" s="1045">
        <f t="shared" si="0"/>
        <v>0</v>
      </c>
      <c r="N13" s="1045">
        <f t="shared" si="0"/>
        <v>1</v>
      </c>
      <c r="O13" s="1046">
        <f t="shared" si="0"/>
        <v>0</v>
      </c>
      <c r="P13" s="1046">
        <f t="shared" si="0"/>
        <v>0</v>
      </c>
      <c r="Q13" s="1045">
        <f t="shared" si="0"/>
        <v>24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20</v>
      </c>
      <c r="AD13" s="1045">
        <f t="shared" si="1"/>
        <v>0</v>
      </c>
      <c r="AE13" s="1045">
        <f t="shared" si="1"/>
        <v>0</v>
      </c>
      <c r="AF13" s="1045">
        <f t="shared" si="1"/>
        <v>4</v>
      </c>
      <c r="AG13" s="1045">
        <f t="shared" si="1"/>
        <v>0</v>
      </c>
      <c r="AH13" s="1045">
        <f t="shared" si="1"/>
        <v>15</v>
      </c>
      <c r="AI13" s="1045">
        <f t="shared" si="1"/>
        <v>0</v>
      </c>
      <c r="AJ13" s="1045">
        <f t="shared" si="1"/>
        <v>0</v>
      </c>
      <c r="AK13" s="1045">
        <f t="shared" si="1"/>
        <v>0</v>
      </c>
      <c r="AL13" s="1045">
        <f t="shared" si="1"/>
        <v>0</v>
      </c>
      <c r="AM13" s="1045">
        <f t="shared" si="1"/>
        <v>438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16</v>
      </c>
      <c r="BD13" s="1045">
        <f t="shared" si="1"/>
        <v>22</v>
      </c>
      <c r="BE13" s="1045">
        <f t="shared" si="1"/>
        <v>0</v>
      </c>
      <c r="BF13" s="1045">
        <f t="shared" si="1"/>
        <v>0</v>
      </c>
      <c r="BG13" s="1045">
        <f>IF(ISNUMBER(Datos!K13/Datos!J13),Datos!K13/Datos!J13," - ")</f>
        <v>0.8970588235294118</v>
      </c>
      <c r="BH13" s="1049">
        <f>IF(ISNUMBER(((Datos!L13/Datos!K13)*11)/factor_trimestre),((Datos!L13/Datos!K13)*11)/factor_trimestre," - ")</f>
        <v>19.508196721311474</v>
      </c>
      <c r="BI13" s="1045">
        <f>IF(ISNUMBER('Resol  Asuntos'!D13/NºAsuntos!G13),'Resol  Asuntos'!D13/NºAsuntos!G13," - ")</f>
        <v>0.25396825396825395</v>
      </c>
      <c r="BJ13" s="1045" t="str">
        <f>IF(ISNUMBER(Datos!CI13/Datos!CJ13),Datos!CI13/Datos!CJ13," - ")</f>
        <v xml:space="preserve"> - </v>
      </c>
      <c r="BK13" s="1045">
        <f>SUBTOTAL(9,BK8:BK12)</f>
        <v>0</v>
      </c>
      <c r="BL13" s="1045">
        <f>IF(ISNUMBER((I13-AB13+L13)/(F13)),(I13-AB13+L13)/(F13)," - ")</f>
        <v>0</v>
      </c>
      <c r="BM13" s="1050">
        <f>SUBTOTAL(9,BM9:BM12)</f>
        <v>9.2165898617511521E-3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257</v>
      </c>
      <c r="G16" s="650">
        <f>IF(ISNUMBER(IF(D_I="SI",Datos!I16,Datos!I16+Datos!AC16)),IF(D_I="SI",Datos!I16,Datos!I16+Datos!AC16)," - ")</f>
        <v>255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210</v>
      </c>
      <c r="AC16" s="230">
        <f>IF(ISNUMBER(Datos!Q16),Datos!Q16," - ")</f>
        <v>1</v>
      </c>
      <c r="AD16" s="343"/>
      <c r="AE16" s="515"/>
      <c r="AF16" s="648">
        <f>IF(ISNUMBER(IF(D_I="SI",Datos!L16,Datos!L16+Datos!AF16)),IF(D_I="SI",Datos!L16,Datos!L16+Datos!AF16)," - ")</f>
        <v>279</v>
      </c>
      <c r="AG16" s="343"/>
      <c r="AH16" s="343"/>
      <c r="AI16" s="343"/>
      <c r="AJ16" s="503"/>
      <c r="AK16" s="343"/>
      <c r="AL16" s="499"/>
      <c r="AM16" s="344">
        <f>IF(ISNUMBER(Datos!R16),Datos!R16," - ")</f>
        <v>34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17</v>
      </c>
      <c r="BD16" s="233">
        <f>IF(ISNUMBER(Datos!N16),Datos!N16," - ")</f>
        <v>120</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0.90517241379310343</v>
      </c>
      <c r="BH16" s="669">
        <f>IF(ISNUMBER(((IF(D_I="SI",Datos!L16/Datos!K16,(Datos!L16+Datos!AF16)/(Datos!K16+Datos!AE16)))*11)/factor_trimestre),((IF(D_I="SI",Datos!L16/Datos!K16,(Datos!L16+Datos!AF16)/(Datos!K16+Datos!AE16)))*11)/factor_trimestre," - ")</f>
        <v>2.657142857142857</v>
      </c>
      <c r="BI16" s="247">
        <f>IF(ISNUMBER('Resol  Asuntos'!D16/NºAsuntos!G16),'Resol  Asuntos'!D16/NºAsuntos!G16," - ")</f>
        <v>8.0952380952380956E-2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29</v>
      </c>
      <c r="AC17" s="501">
        <f>IF(ISNUMBER(Datos!Q17),Datos!Q17," - ")</f>
        <v>0</v>
      </c>
      <c r="AD17" s="503"/>
      <c r="AE17" s="515"/>
      <c r="AF17" s="505">
        <f>IF(ISNUMBER(Datos!L17),Datos!L17,"-")</f>
        <v>14</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v>
      </c>
      <c r="BD17" s="619">
        <f>IF(ISNUMBER(Datos!N17),Datos!N17," - ")</f>
        <v>23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0.90625</v>
      </c>
      <c r="BH17" s="669">
        <f>IF(ISNUMBER(((IF(D_I="SI",Datos!L17/Datos!K17,(Datos!L17+Datos!AF17)/(Datos!K17+Datos!AE17)))*11)/factor_trimestre),((IF(D_I="SI",Datos!L17/Datos!K17,(Datos!L17+Datos!AF17)/(Datos!K17+Datos!AE17)))*11)/factor_trimestre," - ")</f>
        <v>0.96551724137931039</v>
      </c>
      <c r="BI17" s="668">
        <f>IF(ISNUMBER('Resol  Asuntos'!D17/NºAsuntos!G17),'Resol  Asuntos'!D17/NºAsuntos!G17," - ")</f>
        <v>0.10344827586206896</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257</v>
      </c>
      <c r="G18" s="1044">
        <f>SUBTOTAL(9,G15:G17)</f>
        <v>266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239</v>
      </c>
      <c r="AC18" s="1045">
        <f t="shared" si="4"/>
        <v>1</v>
      </c>
      <c r="AD18" s="1045">
        <f t="shared" si="4"/>
        <v>0</v>
      </c>
      <c r="AE18" s="1045">
        <f t="shared" si="4"/>
        <v>0</v>
      </c>
      <c r="AF18" s="1045">
        <f t="shared" si="4"/>
        <v>293</v>
      </c>
      <c r="AG18" s="1045">
        <f t="shared" si="4"/>
        <v>0</v>
      </c>
      <c r="AH18" s="1045">
        <f t="shared" si="4"/>
        <v>0</v>
      </c>
      <c r="AI18" s="1045">
        <f t="shared" si="4"/>
        <v>0</v>
      </c>
      <c r="AJ18" s="1045">
        <f t="shared" si="4"/>
        <v>0</v>
      </c>
      <c r="AK18" s="1045">
        <f t="shared" si="4"/>
        <v>0</v>
      </c>
      <c r="AL18" s="1045">
        <f t="shared" si="4"/>
        <v>0</v>
      </c>
      <c r="AM18" s="1045">
        <f t="shared" si="4"/>
        <v>34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20</v>
      </c>
      <c r="BD18" s="1045">
        <f t="shared" si="4"/>
        <v>143</v>
      </c>
      <c r="BE18" s="1045">
        <f t="shared" si="4"/>
        <v>0</v>
      </c>
      <c r="BF18" s="1045">
        <f t="shared" si="4"/>
        <v>0</v>
      </c>
      <c r="BG18" s="1045">
        <f>IF(ISNUMBER(Datos!K18/Datos!J18),Datos!K18/Datos!J18," - ")</f>
        <v>0.90530303030303028</v>
      </c>
      <c r="BH18" s="1049">
        <f>IF(ISNUMBER(((Datos!L18/Datos!K18)*11)/factor_trimestre),((Datos!L18/Datos!K18)*11)/factor_trimestre," - ")</f>
        <v>2.4518828451882846</v>
      </c>
      <c r="BI18" s="1045">
        <f>SUBTOTAL(9,BI15:BI17)</f>
        <v>0.18440065681444992</v>
      </c>
      <c r="BJ18" s="1045">
        <f>SUBTOTAL(9,BJ15:BJ17)</f>
        <v>0</v>
      </c>
      <c r="BK18" s="1045">
        <f>SUBTOTAL(9,BK15:BK17)</f>
        <v>0</v>
      </c>
      <c r="BL18" s="1045">
        <f>IF(ISNUMBER((I18-AB18+L18)/(F18)),(I18-AB18+L18)/(F18)," - ")</f>
        <v>-0.92996108949416345</v>
      </c>
      <c r="BM18" s="1051">
        <f>IF(ISNUMBER((Datos!P18-Datos!Q18)/(Datos!R18-Datos!P18+Datos!Q18)),(Datos!P18-Datos!Q18)/(Datos!R18-Datos!P18+Datos!Q18)," - ")</f>
        <v>6.25E-2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260</v>
      </c>
      <c r="G19" s="966">
        <f t="shared" si="6"/>
        <v>269</v>
      </c>
      <c r="H19" s="968">
        <f t="shared" si="6"/>
        <v>0</v>
      </c>
      <c r="I19" s="966">
        <f t="shared" si="6"/>
        <v>0</v>
      </c>
      <c r="J19" s="968">
        <f t="shared" si="6"/>
        <v>0</v>
      </c>
      <c r="K19" s="968">
        <f t="shared" si="6"/>
        <v>0</v>
      </c>
      <c r="L19" s="1027">
        <f t="shared" si="6"/>
        <v>0</v>
      </c>
      <c r="M19" s="1027">
        <f t="shared" si="6"/>
        <v>0</v>
      </c>
      <c r="N19" s="1027">
        <f t="shared" si="6"/>
        <v>1</v>
      </c>
      <c r="O19" s="1027">
        <f t="shared" si="6"/>
        <v>0</v>
      </c>
      <c r="P19" s="1027">
        <f t="shared" si="6"/>
        <v>0</v>
      </c>
      <c r="Q19" s="968">
        <f t="shared" si="6"/>
        <v>27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239</v>
      </c>
      <c r="AC19" s="967">
        <f t="shared" si="7"/>
        <v>21</v>
      </c>
      <c r="AD19" s="967">
        <f t="shared" si="7"/>
        <v>0</v>
      </c>
      <c r="AE19" s="967">
        <f t="shared" si="7"/>
        <v>0</v>
      </c>
      <c r="AF19" s="974">
        <f t="shared" si="7"/>
        <v>297</v>
      </c>
      <c r="AG19" s="974">
        <f t="shared" si="7"/>
        <v>0</v>
      </c>
      <c r="AH19" s="974">
        <f t="shared" si="7"/>
        <v>15</v>
      </c>
      <c r="AI19" s="974">
        <f t="shared" si="7"/>
        <v>0</v>
      </c>
      <c r="AJ19" s="967">
        <f t="shared" si="7"/>
        <v>0</v>
      </c>
      <c r="AK19" s="974">
        <f t="shared" si="7"/>
        <v>0</v>
      </c>
      <c r="AL19" s="974">
        <f t="shared" si="7"/>
        <v>0</v>
      </c>
      <c r="AM19" s="974">
        <f t="shared" si="7"/>
        <v>472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36</v>
      </c>
      <c r="BD19" s="966">
        <f t="shared" si="7"/>
        <v>165</v>
      </c>
      <c r="BE19" s="966">
        <f t="shared" si="7"/>
        <v>0</v>
      </c>
      <c r="BF19" s="976">
        <f t="shared" si="7"/>
        <v>0</v>
      </c>
      <c r="BG19" s="1061">
        <f>IF(ISNUMBER(Datos!K19/Datos!J19),Datos!K19/Datos!J19," - ")</f>
        <v>0.90361445783132532</v>
      </c>
      <c r="BH19" s="1061">
        <f>IF(ISNUMBER(((Datos!L19/Datos!K19)*11)/factor_trimestre),((Datos!L19/Datos!K19)*11)/factor_trimestre," - ")</f>
        <v>5.9200000000000008</v>
      </c>
      <c r="BI19" s="959">
        <f>IF(ISNUMBER(Datos!J19/Datos!I19),Datos!J19/Datos!I19," - ")</f>
        <v>0.38875878220140514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-0.91923076923076918</v>
      </c>
      <c r="BM19" s="1035">
        <f>IF(ISNUMBER((Datos!P19-Datos!Q19+R19)/(Datos!R19-Datos!P19+Datos!Q19-R19)),(Datos!P19-Datos!Q19+R19)/(Datos!R19-Datos!P19+Datos!Q19-R19)," - ")</f>
        <v>1.2875536480686695E-2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107.6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146.64696837416494</v>
      </c>
      <c r="G21" s="600">
        <f>IF(ISNUMBER(STDEV(G8:G18)),STDEV(G8:G18),"-")</f>
        <v>139.67032612548738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118.70678160913975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8.3186537372341682</v>
      </c>
      <c r="BD21" s="599"/>
      <c r="BE21" s="599">
        <f>IF(ISNUMBER(STDEV(BE8:BE18)),STDEV(BE8:BE18),"-")</f>
        <v>0</v>
      </c>
      <c r="BF21" s="604">
        <f>IF(ISNUMBER(STDEV(BF8:BF18)),STDEV(BF8:BF18),"-")</f>
        <v>0</v>
      </c>
      <c r="BG21" s="914">
        <f>IF(ISNUMBER(STDEV(BG8:BG18)),STDEV(BG8:BG18),"-")</f>
        <v>0.37083949688337786</v>
      </c>
      <c r="BH21" s="918">
        <f>IF(ISNUMBER(STDEV(BH8:BH18)),STDEV(BH8:BH18),"-")</f>
        <v>9.5249273044221674</v>
      </c>
      <c r="BI21" s="253">
        <f>IF(ISNUMBER(STDEV(BI8:BI18)),STDEV(BI8:BI18),"-")</f>
        <v>7.9157704271687404E-2</v>
      </c>
      <c r="BJ21" s="234" t="str">
        <f>IF(ISNUMBER(BL21/BM21),BL21/BM21," - ")</f>
        <v xml:space="preserve"> - </v>
      </c>
      <c r="BK21" s="626"/>
      <c r="BL21" s="607">
        <f>IF(ISNUMBER(STDEV(BL8:BL18)),STDEV(BL8:BL18),"-")</f>
        <v>0.65758179262095273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SaMs6qrViXl1d+OgtE+0h5l9ctffGwYu5oxR4jUDq3/DFPMWZm9CG6c4+lX0mkUSheVATgzIn94KTd1SvMND3A==" saltValue="UvkFxVpuwp3IRRajHzf7I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ARAGON</v>
      </c>
    </row>
    <row r="2" spans="1:73" ht="16.5" customHeight="1">
      <c r="C2" s="574" t="str">
        <f>Criterios!A10 &amp;"  "&amp;Criterios!B10 &amp; "  " &amp; IF(NOT(ISBLANK(Criterios!A11)),Criterios!A11 &amp;"  "&amp;Criterios!B11,"")</f>
        <v>Provincias  ZARAGOZA  Resumenes por Partidos Judiciales  CASPE</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v>
      </c>
      <c r="G10" s="506">
        <f>IF(ISNUMBER(Datos!I10),Datos!I10," - ")</f>
        <v>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4</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20</v>
      </c>
      <c r="AA12" s="505" t="str">
        <f>IF(ISNUMBER(IF(J_V="SI",Datos!L12,Datos!L12+Datos!AB12)-IF(Monitorios="SI",Datos!CD12,0)),
                          IF(J_V="SI",Datos!L12,Datos!L12+Datos!AB12)-IF(Monitorios="SI",Datos!CD12,0),
                          " - ")</f>
        <v xml:space="preserve"> - </v>
      </c>
      <c r="AB12" s="503"/>
      <c r="AC12" s="503"/>
      <c r="AD12" s="516"/>
      <c r="AE12" s="516">
        <f>IF(ISNUMBER(Datos!R12),Datos!R12," - ")</f>
        <v>438</v>
      </c>
      <c r="AF12" s="619" t="str">
        <f>IF(ISNUMBER(Datos!BV12),Datos!BV12," - ")</f>
        <v xml:space="preserve"> - </v>
      </c>
      <c r="AG12" s="506" t="str">
        <f>IF(ISNUMBER(Datos!DV12),Datos!DV12," - ")</f>
        <v xml:space="preserve"> - </v>
      </c>
      <c r="AH12" s="507"/>
      <c r="AI12" s="508"/>
      <c r="AJ12" s="506">
        <f>IF(ISNUMBER(Datos!M12),Datos!M12," - ")</f>
        <v>16</v>
      </c>
      <c r="AK12" s="619">
        <f>IF(ISNUMBER(Datos!N12),Datos!N12," - ")</f>
        <v>22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19.238095238095237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9.2165898617511521E-3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3</v>
      </c>
      <c r="G13" s="1044">
        <f>SUBTOTAL(9,G8:G12)</f>
        <v>3</v>
      </c>
      <c r="H13" s="1054"/>
      <c r="I13" s="1044">
        <f t="shared" ref="I13:N13" si="0">SUBTOTAL(9,I8:I12)</f>
        <v>0</v>
      </c>
      <c r="J13" s="1013">
        <f t="shared" si="0"/>
        <v>0</v>
      </c>
      <c r="K13" s="1054">
        <f t="shared" si="0"/>
        <v>0</v>
      </c>
      <c r="L13" s="1054">
        <f t="shared" si="0"/>
        <v>0</v>
      </c>
      <c r="M13" s="1054">
        <f t="shared" si="0"/>
        <v>0</v>
      </c>
      <c r="N13" s="1054">
        <f t="shared" si="0"/>
        <v>24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20</v>
      </c>
      <c r="AA13" s="1046">
        <f t="shared" si="2"/>
        <v>4</v>
      </c>
      <c r="AB13" s="1046">
        <f t="shared" si="2"/>
        <v>0</v>
      </c>
      <c r="AC13" s="1046">
        <f t="shared" si="2"/>
        <v>0</v>
      </c>
      <c r="AD13" s="1046">
        <f t="shared" si="2"/>
        <v>0</v>
      </c>
      <c r="AE13" s="1046">
        <f t="shared" si="2"/>
        <v>438</v>
      </c>
      <c r="AF13" s="1054">
        <f t="shared" si="2"/>
        <v>0</v>
      </c>
      <c r="AG13" s="1054">
        <f t="shared" si="2"/>
        <v>0</v>
      </c>
      <c r="AH13" s="1054">
        <f t="shared" si="2"/>
        <v>0</v>
      </c>
      <c r="AI13" s="1054">
        <f t="shared" si="2"/>
        <v>0</v>
      </c>
      <c r="AJ13" s="1054">
        <f t="shared" si="2"/>
        <v>16</v>
      </c>
      <c r="AK13" s="1054">
        <f t="shared" si="2"/>
        <v>22</v>
      </c>
      <c r="AL13" s="1054">
        <f t="shared" si="2"/>
        <v>0</v>
      </c>
      <c r="AM13" s="1054">
        <f t="shared" si="2"/>
        <v>0</v>
      </c>
      <c r="AN13" s="1054">
        <f t="shared" si="2"/>
        <v>0</v>
      </c>
      <c r="AO13" s="1050">
        <f>IF(ISNUMBER(((NºAsuntos!I13/NºAsuntos!G13)*11)/factor_trimestre),((NºAsuntos!I13/NºAsuntos!G13)*11)/factor_trimestre," - ")</f>
        <v>19.365079365079364</v>
      </c>
      <c r="AP13" s="1056" t="str">
        <f>IF(ISNUMBER(Datos!CI13/Datos!CJ13),Datos!CI13/Datos!CJ13," - ")</f>
        <v xml:space="preserve"> - </v>
      </c>
      <c r="AQ13" s="1074">
        <f t="shared" ref="AQ13:AV13" si="3">SUBTOTAL(9,AQ9:AQ12)</f>
        <v>0</v>
      </c>
      <c r="AR13" s="1074">
        <f t="shared" si="3"/>
        <v>9.2165898617511521E-3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257</v>
      </c>
      <c r="G16" s="506">
        <f>IF(ISNUMBER(IF(D_I="SI",Datos!I16,Datos!I16+Datos!AC16)),IF(D_I="SI",Datos!I16,Datos!I16+Datos!AC16)," - ")</f>
        <v>255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210</v>
      </c>
      <c r="Z16" s="703">
        <f>IF(ISNUMBER(Datos!Q16),Datos!Q16," - ")</f>
        <v>1</v>
      </c>
      <c r="AA16" s="505">
        <f>IF(ISNUMBER(IF(D_I="SI",Datos!L16,Datos!L16+Datos!AF16)),IF(D_I="SI",Datos!L16,Datos!L16+Datos!AF16)," - ")</f>
        <v>279</v>
      </c>
      <c r="AB16" s="503"/>
      <c r="AC16" s="503"/>
      <c r="AD16" s="516"/>
      <c r="AE16" s="516">
        <f>IF(ISNUMBER(Datos!R16),Datos!R16," - ")</f>
        <v>34</v>
      </c>
      <c r="AF16" s="619" t="str">
        <f>IF(ISNUMBER(Datos!BV16),Datos!BV16," - ")</f>
        <v xml:space="preserve"> - </v>
      </c>
      <c r="AG16" s="506"/>
      <c r="AH16" s="507"/>
      <c r="AI16" s="508"/>
      <c r="AJ16" s="506">
        <f>IF(ISNUMBER(Datos!M16),Datos!M16," - ")</f>
        <v>17</v>
      </c>
      <c r="AK16" s="619">
        <f>IF(ISNUMBER(Datos!N16),Datos!N16," - ")</f>
        <v>120</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2.657142857142857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29</v>
      </c>
      <c r="Z17" s="703">
        <f>IF(ISNUMBER(Datos!Q17),Datos!Q17," - ")</f>
        <v>0</v>
      </c>
      <c r="AA17" s="505">
        <f>IF(ISNUMBER(Datos!L17),Datos!L17,"-")</f>
        <v>14</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3</v>
      </c>
      <c r="AK17" s="619">
        <f>IF(ISNUMBER(Datos!N17),Datos!N17," - ")</f>
        <v>23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0.96551724137931039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257</v>
      </c>
      <c r="G18" s="1044">
        <f>SUBTOTAL(9,G15:G17)</f>
        <v>266</v>
      </c>
      <c r="H18" s="1078">
        <f>SUBTOTAL(9,H15:H17)</f>
        <v>0</v>
      </c>
      <c r="I18" s="1057">
        <f>SUBTOTAL(9,I15:I17)</f>
        <v>0</v>
      </c>
      <c r="J18" s="1013">
        <f>SUBTOTAL(9,J14:J17)</f>
        <v>0</v>
      </c>
      <c r="K18" s="1078">
        <f t="shared" ref="K18:S18" si="4">SUBTOTAL(9,K15:K17)</f>
        <v>0</v>
      </c>
      <c r="L18" s="1078">
        <f t="shared" si="4"/>
        <v>0</v>
      </c>
      <c r="M18" s="1078">
        <f t="shared" si="4"/>
        <v>0</v>
      </c>
      <c r="N18" s="1078">
        <f t="shared" si="4"/>
        <v>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239</v>
      </c>
      <c r="Z18" s="1078">
        <f t="shared" si="5"/>
        <v>1</v>
      </c>
      <c r="AA18" s="1078">
        <f t="shared" si="5"/>
        <v>293</v>
      </c>
      <c r="AB18" s="1078">
        <f t="shared" si="5"/>
        <v>0</v>
      </c>
      <c r="AC18" s="1078">
        <f t="shared" si="5"/>
        <v>0</v>
      </c>
      <c r="AD18" s="1078">
        <f t="shared" si="5"/>
        <v>0</v>
      </c>
      <c r="AE18" s="1078">
        <f t="shared" si="5"/>
        <v>34</v>
      </c>
      <c r="AF18" s="1078">
        <f t="shared" si="5"/>
        <v>0</v>
      </c>
      <c r="AG18" s="1078">
        <f t="shared" si="5"/>
        <v>0</v>
      </c>
      <c r="AH18" s="1078">
        <f t="shared" si="5"/>
        <v>0</v>
      </c>
      <c r="AI18" s="1078">
        <f t="shared" si="5"/>
        <v>0</v>
      </c>
      <c r="AJ18" s="1078">
        <f t="shared" si="5"/>
        <v>20</v>
      </c>
      <c r="AK18" s="1078">
        <f t="shared" si="5"/>
        <v>143</v>
      </c>
      <c r="AL18" s="1078">
        <f t="shared" si="5"/>
        <v>0</v>
      </c>
      <c r="AM18" s="1078">
        <f t="shared" si="5"/>
        <v>0</v>
      </c>
      <c r="AN18" s="1078">
        <f t="shared" si="5"/>
        <v>0</v>
      </c>
      <c r="AO18" s="1080">
        <f>IF(ISNUMBER(((NºAsuntos!I18/NºAsuntos!G18)*11)/factor_trimestre),((NºAsuntos!I18/NºAsuntos!G18)*11)/factor_trimestre," - ")</f>
        <v>2.4518828451882846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260</v>
      </c>
      <c r="G19" s="966">
        <f t="shared" si="7"/>
        <v>269</v>
      </c>
      <c r="H19" s="967">
        <f t="shared" si="7"/>
        <v>0</v>
      </c>
      <c r="I19" s="966">
        <f t="shared" si="7"/>
        <v>0</v>
      </c>
      <c r="J19" s="968">
        <f t="shared" si="7"/>
        <v>0</v>
      </c>
      <c r="K19" s="966">
        <f t="shared" si="7"/>
        <v>0</v>
      </c>
      <c r="L19" s="969">
        <f t="shared" si="7"/>
        <v>0</v>
      </c>
      <c r="M19" s="966">
        <f t="shared" si="7"/>
        <v>0</v>
      </c>
      <c r="N19" s="967">
        <f t="shared" si="7"/>
        <v>27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239</v>
      </c>
      <c r="Z19" s="973">
        <f t="shared" si="8"/>
        <v>21</v>
      </c>
      <c r="AA19" s="974">
        <f t="shared" si="8"/>
        <v>297</v>
      </c>
      <c r="AB19" s="974">
        <f t="shared" si="8"/>
        <v>0</v>
      </c>
      <c r="AC19" s="974">
        <f t="shared" si="8"/>
        <v>0</v>
      </c>
      <c r="AD19" s="975">
        <f t="shared" si="8"/>
        <v>0</v>
      </c>
      <c r="AE19" s="975">
        <f t="shared" si="8"/>
        <v>472</v>
      </c>
      <c r="AF19" s="976">
        <f t="shared" si="8"/>
        <v>0</v>
      </c>
      <c r="AG19" s="977">
        <f t="shared" si="8"/>
        <v>0</v>
      </c>
      <c r="AH19" s="978">
        <f t="shared" si="8"/>
        <v>0</v>
      </c>
      <c r="AI19" s="976">
        <f t="shared" si="8"/>
        <v>0</v>
      </c>
      <c r="AJ19" s="966">
        <f t="shared" si="8"/>
        <v>36</v>
      </c>
      <c r="AK19" s="966">
        <f t="shared" si="8"/>
        <v>165</v>
      </c>
      <c r="AL19" s="966">
        <f t="shared" si="8"/>
        <v>0</v>
      </c>
      <c r="AM19" s="979">
        <f t="shared" si="8"/>
        <v>0</v>
      </c>
      <c r="AN19" s="969">
        <f>IF(ISNUMBER(Datos!K19/Datos!J19),Datos!K19/Datos!J19," - ")</f>
        <v>0.90361445783132532</v>
      </c>
      <c r="AO19" s="969">
        <f>IF(ISNUMBER(FIND("06",Criterios!A8,1)),(IF(ISNUMBER(((Datos!R19/Datos!Q19)*11)/factor_trimestre),((Datos!R19/Datos!Q19)*11)/factor_trimestre," - ")),(IF(ISNUMBER(((Datos!L19/Datos!K19)*11)/factor_trimestre),((Datos!L19/Datos!K19)*11)/factor_trimestre," - ")))</f>
        <v>5.9200000000000008</v>
      </c>
      <c r="AP19" s="980" t="str">
        <f>IF(ISNUMBER(Datos!CI19/Datos!CJ19),Datos!CI19/Datos!CJ19," - ")</f>
        <v xml:space="preserve"> - </v>
      </c>
      <c r="AQ19" s="980">
        <f>IF(OR(ISNUMBER(FIND("01",Criterios!A8,1)),ISNUMBER(FIND("02",Criterios!A8,1)),ISNUMBER(FIND("03",Criterios!A8,1)),ISNUMBER(FIND("04",Criterios!A8,1))),(J19-Y19+K19)/(F19-K19),(I19-Y19+K19)/(F19-K19))</f>
        <v>-0.91923076923076918</v>
      </c>
      <c r="AR19" s="980">
        <f>IF(ISNUMBER((Datos!P19-Datos!Q19+O19)/(Datos!R19-Datos!P19+Datos!Q19-O19)),(Datos!P19-Datos!Q19+O19)/(Datos!R19-Datos!P19+Datos!Q19-O19)," - ")</f>
        <v>1.2875536480686695E-2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107.6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146.64696837416494</v>
      </c>
      <c r="G21" s="600">
        <f>IF(ISNUMBER(STDEV(G8:G18)),STDEV(G8:G18),"-")</f>
        <v>139.67032612548738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8.3186537372341682</v>
      </c>
      <c r="AK21" s="256"/>
      <c r="AL21" s="256">
        <f>IF(ISNUMBER(STDEV(AL8:AL18)),STDEV(AL8:AL18),"-")</f>
        <v>0</v>
      </c>
      <c r="AM21" s="258">
        <f>IF(ISNUMBER(STDEV(AM8:AM18)),STDEV(AM8:AM18),"-")</f>
        <v>0</v>
      </c>
      <c r="AN21" s="586">
        <f>IF(ISNUMBER(STDEV(AN8:AN18)),STDEV(AN8:AN18),"-")</f>
        <v>0</v>
      </c>
      <c r="AO21" s="587">
        <f>IF(ISNUMBER(STDEV(AO8:AO18)),STDEV(AO8:AO18),"-")</f>
        <v>9.4854530645508905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AlHrBE7wUXzb/cCGhthq0sd9yAfSPk8QYTo2J/qfJsdAsdRqCJ5LpGzuMbb8FbfKAW9LW6USC7POUrvH6zRQ==" saltValue="xZbktsSXWfLAkdUlOU0m9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lj56KkusmViiOtOe5TeJ5Mp40X4HEG8PZzfw5GOKLN+scUCQhdj77Pu556LGIxFqggFMDPJCPTaK/nMrYCeRqg==" saltValue="GAkQhKOcOUV9wm3IicZw7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53+n2mU6g4w09PDQ4T8rw8cUz1Xza2GPVzJVMWt+HIL6GtQ63stzOLHIBPR9NXaW8wIKThKSX4caKMGARcICA==" saltValue="EAq1237nYHCC0bnhgKz6M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ARAGON</v>
      </c>
      <c r="F1" s="752"/>
    </row>
    <row r="2" spans="1:75" ht="16.5" customHeight="1">
      <c r="C2" s="520" t="str">
        <f>Criterios!A10 &amp;"  "&amp;Criterios!B10 &amp; "  " &amp; IF(NOT(ISBLANK(Criterios!A11)),Criterios!A11 &amp;"  "&amp;Criterios!B11,"")</f>
        <v>Provincias  ZARAGOZA  Resumenes por Partidos Judiciales  CASPE</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0.25396825396825395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0.17958267458705968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iQHaK48gUHq659cmK7pR7aOQBqPcN0PF3OrOovOqVZv6/CwZw4aG9LC/wCxpUPukXoiTUfnsMWVXXt8TQXLDZg==" saltValue="T3bQerqyZCnXA0a4dmF4d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QKexpheQGrMiVZB1kRrx1h0nx+U24m2lnsW5pF7jo7vfufk4iLFMrD5VmoLyfw2oUxmYAOC44SBEfIL4IR2mEA==" saltValue="1t2GOkY0Ic3eiiIvhEIP7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ARAGON</v>
      </c>
      <c r="C2" s="399"/>
      <c r="D2" s="399"/>
      <c r="E2" s="399"/>
      <c r="F2" s="399"/>
    </row>
    <row r="3" spans="1:14" ht="19.5">
      <c r="A3" s="401" t="s">
        <v>115</v>
      </c>
      <c r="B3" s="402" t="str">
        <f>Criterios!A10 &amp;"  "&amp;Criterios!B10</f>
        <v>Provincias  ZARAGOZA</v>
      </c>
      <c r="D3" s="399"/>
      <c r="E3" s="399"/>
      <c r="F3" s="399"/>
    </row>
    <row r="4" spans="1:14" ht="13.5" thickBot="1">
      <c r="A4" s="399"/>
      <c r="B4" s="402" t="str">
        <f>Criterios!A11 &amp;"  "&amp;Criterios!B11</f>
        <v>Resumenes por Partidos Judiciales  CASPE</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v>
      </c>
      <c r="D10" s="415">
        <f>IF(ISNUMBER(C10/Datos!BH10),C10/Datos!BH10," - ")</f>
        <v>3</v>
      </c>
      <c r="E10" s="414">
        <f>IF(ISNUMBER(Datos!J10),Datos!J10," - ")</f>
        <v>1</v>
      </c>
      <c r="F10" s="415">
        <f>IF(ISNUMBER(E10/B10),E10/B10," - ")</f>
        <v>1</v>
      </c>
      <c r="G10" s="414">
        <f>IF(ISNUMBER(Datos!K10),Datos!K10," - ")</f>
        <v>0</v>
      </c>
      <c r="H10" s="415">
        <f>IF(ISNUMBER(G10/B10),G10/B10," - ")</f>
        <v>0</v>
      </c>
      <c r="I10" s="414">
        <f>IF(ISNUMBER(Datos!L10),Datos!L10," - ")</f>
        <v>4</v>
      </c>
      <c r="J10" s="415">
        <f>IF(ISNUMBER(I10/B10),I10/B10," - ")</f>
        <v>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601</v>
      </c>
      <c r="D12" s="415">
        <f>IF(ISNUMBER(C12/Datos!BH12),C12/Datos!BH12," - ")</f>
        <v>601</v>
      </c>
      <c r="E12" s="414">
        <f>IF(ISNUMBER(IF(J_V="SI",Datos!J12,Datos!J12+Datos!Z12)),IF(J_V="SI",Datos!J12,Datos!J12+Datos!Z12)," - ")</f>
        <v>68</v>
      </c>
      <c r="F12" s="415">
        <f>IF(ISNUMBER(E12/B12),E12/B12," - ")</f>
        <v>68</v>
      </c>
      <c r="G12" s="414">
        <f>IF(ISNUMBER(IF(J_V="SI",Datos!K12,Datos!K12+Datos!AA12)),IF(J_V="SI",Datos!K12,Datos!K12+Datos!AA12)," - ")</f>
        <v>63</v>
      </c>
      <c r="H12" s="415">
        <f>IF(ISNUMBER(G12/B12),G12/B12," - ")</f>
        <v>63</v>
      </c>
      <c r="I12" s="414">
        <f>IF(ISNUMBER(IF(J_V="SI",Datos!L12,Datos!L12+Datos!AB12)),IF(J_V="SI",Datos!L12,Datos!L12+Datos!AB12)," - ")</f>
        <v>606</v>
      </c>
      <c r="J12" s="415">
        <f>IF(ISNUMBER(I12/B12),I12/B12," - ")</f>
        <v>606</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604</v>
      </c>
      <c r="D13" s="996" t="str">
        <f>IF(ISNUMBER(C13/Datos!BI13),C13/Datos!BI13," - ")</f>
        <v xml:space="preserve"> - </v>
      </c>
      <c r="E13" s="995">
        <f>SUBTOTAL(9,E8:E12)</f>
        <v>69</v>
      </c>
      <c r="F13" s="996">
        <f>IF(ISNUMBER(E13/B13),E13/B13," - ")</f>
        <v>69</v>
      </c>
      <c r="G13" s="995">
        <f>SUBTOTAL(9,G8:G12)</f>
        <v>63</v>
      </c>
      <c r="H13" s="996">
        <f>IF(ISNUMBER(G13/B13),G13/B13," - ")</f>
        <v>63</v>
      </c>
      <c r="I13" s="995">
        <f>SUBTOTAL(9,I8:I12)</f>
        <v>610</v>
      </c>
      <c r="J13" s="996">
        <f>IF(ISNUMBER(I13/B13),I13/B13," - ")</f>
        <v>610</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255</v>
      </c>
      <c r="D16" s="415">
        <f>IF(ISNUMBER(C16/Datos!BH16),C16/Datos!BH16," - ")</f>
        <v>255</v>
      </c>
      <c r="E16" s="414">
        <f>IF(ISNUMBER(IF(D_I="SI",Datos!J16,Datos!J16+Datos!AD16)),IF(D_I="SI",Datos!J16,Datos!J16+Datos!AD16)," - ")</f>
        <v>232</v>
      </c>
      <c r="F16" s="415">
        <f>IF(ISNUMBER(E16/B16),E16/B16," - ")</f>
        <v>232</v>
      </c>
      <c r="G16" s="414">
        <f>IF(ISNUMBER(IF(D_I="SI",Datos!K16,Datos!K16+Datos!AE16)),IF(D_I="SI",Datos!K16,Datos!K16+Datos!AE16)," - ")</f>
        <v>210</v>
      </c>
      <c r="H16" s="415">
        <f>IF(ISNUMBER(G16/B16),G16/B16," - ")</f>
        <v>210</v>
      </c>
      <c r="I16" s="414">
        <f>IF(ISNUMBER(IF(D_I="SI",Datos!L16,Datos!L16+Datos!AF16)),IF(D_I="SI",Datos!L16,Datos!L16+Datos!AF16)," - ")</f>
        <v>279</v>
      </c>
      <c r="J16" s="415">
        <f>IF(ISNUMBER(I16/B16),I16/B16," - ")</f>
        <v>279</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11</v>
      </c>
      <c r="D17" s="415">
        <f>IF(ISNUMBER(C17/Datos!BH17),C17/Datos!BH17," - ")</f>
        <v>11</v>
      </c>
      <c r="E17" s="414">
        <f>IF(ISNUMBER(IF(D_I="SI",Datos!J17,Datos!J17+Datos!AD17)),IF(D_I="SI",Datos!J17,Datos!J17+Datos!AD17)," - ")</f>
        <v>32</v>
      </c>
      <c r="F17" s="415">
        <f>IF(ISNUMBER(E17/B17),E17/B17," - ")</f>
        <v>32</v>
      </c>
      <c r="G17" s="414">
        <f>IF(ISNUMBER(IF(D_I="SI",Datos!K17,Datos!K17+Datos!AE17)),IF(D_I="SI",Datos!K17,Datos!K17+Datos!AE17)," - ")</f>
        <v>29</v>
      </c>
      <c r="H17" s="415">
        <f>IF(ISNUMBER(G17/B17),G17/B17," - ")</f>
        <v>29</v>
      </c>
      <c r="I17" s="414">
        <f>IF(ISNUMBER(IF(D_I="SI",Datos!L17,Datos!L17+Datos!AF17)),IF(D_I="SI",Datos!L17,Datos!L17+Datos!AF17)," - ")</f>
        <v>14</v>
      </c>
      <c r="J17" s="415">
        <f>IF(ISNUMBER(I17/B17),I17/B17," - ")</f>
        <v>14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266</v>
      </c>
      <c r="D18" s="996" t="str">
        <f>IF(ISNUMBER(C18/Datos!BI18),C18/Datos!BI18," - ")</f>
        <v xml:space="preserve"> - </v>
      </c>
      <c r="E18" s="995">
        <f>SUBTOTAL(9,E14:E17)</f>
        <v>264</v>
      </c>
      <c r="F18" s="996">
        <f>IF(ISNUMBER(E18/B18),E18/B18," - ")</f>
        <v>264</v>
      </c>
      <c r="G18" s="995">
        <f>SUBTOTAL(9,G14:G17)</f>
        <v>239</v>
      </c>
      <c r="H18" s="996">
        <f>IF(ISNUMBER(G18/B18),G18/B18," - ")</f>
        <v>239</v>
      </c>
      <c r="I18" s="995">
        <f>SUBTOTAL(9,I14:I17)</f>
        <v>293</v>
      </c>
      <c r="J18" s="996">
        <f>IF(ISNUMBER(I18/B18),I18/B18," - ")</f>
        <v>293</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870</v>
      </c>
      <c r="D19" s="941" t="str">
        <f>IF(ISNUMBER(C19/Datos!BI19),C19/Datos!BI19," - ")</f>
        <v xml:space="preserve"> - </v>
      </c>
      <c r="E19" s="940">
        <f>SUBTOTAL(9,E9:E18)</f>
        <v>333</v>
      </c>
      <c r="F19" s="941">
        <f>IF(ISNUMBER(E19/B19),E19/B19," - ")</f>
        <v>333</v>
      </c>
      <c r="G19" s="940">
        <f>SUBTOTAL(9,G9:G18)</f>
        <v>302</v>
      </c>
      <c r="H19" s="941">
        <f>IF(ISNUMBER(G19/B19),G19/B19," - ")</f>
        <v>302</v>
      </c>
      <c r="I19" s="940">
        <f>SUBTOTAL(9,I9:I18)</f>
        <v>903</v>
      </c>
      <c r="J19" s="941">
        <f>IF(ISNUMBER(I19/B19),I19/B19," - ")</f>
        <v>903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LOB1rGLx+apDArt5QwLJDOg+/JSKiniSX9sz0z/+07gxEyUAQfthxM44Zkx7G9kBVyra0HDrGAp6kNTX3FSoA==" saltValue="yAnV2Dkv4BoAcKMq7BtjQ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ARAGON</v>
      </c>
      <c r="F1" s="752"/>
      <c r="W1"/>
      <c r="X1"/>
      <c r="BE1" s="752"/>
    </row>
    <row r="2" spans="1:65" ht="16.5" customHeight="1">
      <c r="C2" s="520" t="str">
        <f>Criterios!A10 &amp;"  "&amp;Criterios!B10 &amp; "  " &amp; IF(NOT(ISBLANK(Criterios!A11)),Criterios!A11 &amp;"  "&amp;Criterios!B11,"")</f>
        <v>Provincias  ZARAGOZA  Resumenes por Partidos Judiciales  CASPE</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v>
      </c>
      <c r="G10" s="802">
        <f>IF(ISNUMBER(Datos!I10),Datos!I10," - ")</f>
        <v>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438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16</v>
      </c>
      <c r="AM12" s="810">
        <f>IF(ISNUMBER(Datos!N12+DatosP!N16),Datos!N12+DatosP!N16," - ")</f>
        <v>22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19.238095238095237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9.2165898617511521E-3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3</v>
      </c>
      <c r="G13" s="1084">
        <f t="shared" si="0"/>
        <v>3</v>
      </c>
      <c r="H13" s="1084">
        <f t="shared" si="0"/>
        <v>0</v>
      </c>
      <c r="I13" s="1086">
        <f t="shared" si="0"/>
        <v>0</v>
      </c>
      <c r="J13" s="1085">
        <f t="shared" si="0"/>
        <v>0</v>
      </c>
      <c r="K13" s="1085">
        <f t="shared" si="0"/>
        <v>0</v>
      </c>
      <c r="L13" s="1087">
        <f t="shared" si="0"/>
        <v>0</v>
      </c>
      <c r="M13" s="1087">
        <f t="shared" si="0"/>
        <v>0</v>
      </c>
      <c r="N13" s="1085">
        <f t="shared" si="0"/>
        <v>24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20</v>
      </c>
      <c r="AE13" s="1085">
        <f t="shared" si="1"/>
        <v>0</v>
      </c>
      <c r="AF13" s="1085">
        <f t="shared" si="1"/>
        <v>4</v>
      </c>
      <c r="AG13" s="1085">
        <f t="shared" si="1"/>
        <v>0</v>
      </c>
      <c r="AH13" s="1085">
        <f t="shared" si="1"/>
        <v>438</v>
      </c>
      <c r="AI13" s="1085">
        <f t="shared" si="1"/>
        <v>0</v>
      </c>
      <c r="AJ13" s="1085">
        <f t="shared" si="1"/>
        <v>0</v>
      </c>
      <c r="AK13" s="1085">
        <f t="shared" si="1"/>
        <v>0</v>
      </c>
      <c r="AL13" s="1085">
        <f t="shared" si="1"/>
        <v>16</v>
      </c>
      <c r="AM13" s="1085">
        <f t="shared" si="1"/>
        <v>22</v>
      </c>
      <c r="AN13" s="1085">
        <f t="shared" si="1"/>
        <v>0</v>
      </c>
      <c r="AO13" s="1085">
        <f t="shared" si="1"/>
        <v>0</v>
      </c>
      <c r="AP13" s="1090">
        <f>IF(ISNUMBER(((Datos!L13/Datos!K13)*11)/factor_trimestre),((Datos!L13/Datos!K13)*11)/factor_trimestre," - ")</f>
        <v>19.508196721311474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9.2165898617511521E-3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2.4518828451882846</v>
      </c>
      <c r="AQ18" s="1090">
        <f>IF(ISNUMBER(((Datos!M18/Datos!L18)*11)/factor_trimestre),((Datos!M18/Datos!L18)*11)/factor_trimestre," - ")</f>
        <v>0.13651877133105803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6.25E-2</v>
      </c>
      <c r="AW18" s="1092">
        <f>IF(ISNUMBER((Datos!Q18-Datos!R18)/(Datos!S18-Datos!Q18+Datos!R18)),(Datos!Q18-Datos!R18)/(Datos!S18-Datos!Q18+Datos!R18)," - ")</f>
        <v>-0.10377358490566038</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3</v>
      </c>
      <c r="G19" s="1097">
        <f t="shared" si="4"/>
        <v>3</v>
      </c>
      <c r="H19" s="1097">
        <f t="shared" si="4"/>
        <v>0</v>
      </c>
      <c r="I19" s="1098">
        <f t="shared" si="4"/>
        <v>0</v>
      </c>
      <c r="J19" s="1099">
        <f t="shared" si="4"/>
        <v>0</v>
      </c>
      <c r="K19" s="1099">
        <f t="shared" si="4"/>
        <v>0</v>
      </c>
      <c r="L19" s="1099">
        <f t="shared" si="4"/>
        <v>0</v>
      </c>
      <c r="M19" s="1099">
        <f t="shared" si="4"/>
        <v>0</v>
      </c>
      <c r="N19" s="1098">
        <f t="shared" si="4"/>
        <v>24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20</v>
      </c>
      <c r="AE19" s="1103">
        <f t="shared" si="5"/>
        <v>0</v>
      </c>
      <c r="AF19" s="1104">
        <f t="shared" si="5"/>
        <v>4</v>
      </c>
      <c r="AG19" s="1104">
        <f t="shared" si="5"/>
        <v>0</v>
      </c>
      <c r="AH19" s="1104">
        <f t="shared" si="5"/>
        <v>438</v>
      </c>
      <c r="AI19" s="1104">
        <f t="shared" si="5"/>
        <v>0</v>
      </c>
      <c r="AJ19" s="1105">
        <f t="shared" si="5"/>
        <v>0</v>
      </c>
      <c r="AK19" s="1105">
        <f t="shared" si="5"/>
        <v>0</v>
      </c>
      <c r="AL19" s="1097">
        <f t="shared" si="5"/>
        <v>16</v>
      </c>
      <c r="AM19" s="1097">
        <f t="shared" si="5"/>
        <v>22</v>
      </c>
      <c r="AN19" s="1097">
        <f t="shared" si="5"/>
        <v>0</v>
      </c>
      <c r="AO19" s="1097">
        <f t="shared" si="5"/>
        <v>0</v>
      </c>
      <c r="AP19" s="1097">
        <f>IF(ISNUMBER(((Datos!L19/Datos!K19)*11)/factor_trimestre),((Datos!L19/Datos!K19)*11)/factor_trimestre," - ")</f>
        <v>5.9200000000000008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1.2875536480686695E-2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1.7320508075688772</v>
      </c>
      <c r="G21" s="870">
        <f>IF(ISNUMBER(STDEV(G8:G18)),STDEV(G8:G18),"-")</f>
        <v>1.7320508075688772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9.2376043070340117</v>
      </c>
      <c r="AM21" s="869"/>
      <c r="AN21" s="869">
        <f>IF(ISNUMBER(STDEV(AN8:AN18)),STDEV(AN8:AN18),"-")</f>
        <v>0</v>
      </c>
      <c r="AO21" s="875">
        <f>IF(ISNUMBER(STDEV(AO8:AO18)),STDEV(AO8:AO18),"-")</f>
        <v>0</v>
      </c>
      <c r="AP21" s="922">
        <f>IF(ISNUMBER(STDEV(AP8:AP18)),STDEV(AP8:AP18),"-")</f>
        <v>9.7704292327397333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HJIt5jJ9Xzkf5Kjpo4elM9BSCv5+OOCZjAHsQ1iSNWq7WgcQwlh/LIL2AzULG4uQq3UiNGTo6PDYQxjwo6hA5A==" saltValue="ooIZ83afbRFBpGOy1IfH8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ARAGON</v>
      </c>
      <c r="C2" s="399"/>
      <c r="E2" s="399"/>
      <c r="F2" s="399"/>
      <c r="G2" s="399"/>
      <c r="H2" s="399"/>
    </row>
    <row r="3" spans="1:15" ht="39">
      <c r="A3" s="426" t="s">
        <v>221</v>
      </c>
      <c r="B3" s="402" t="str">
        <f>Criterios!A10 &amp;"  "&amp;Criterios!B10</f>
        <v>Provincias  ZARAGOZA</v>
      </c>
      <c r="C3" s="426"/>
      <c r="F3" s="399"/>
      <c r="G3" s="399"/>
      <c r="H3" s="399"/>
    </row>
    <row r="4" spans="1:15" ht="13.5" thickBot="1">
      <c r="A4" s="399"/>
      <c r="B4" s="402" t="str">
        <f>Criterios!A11 &amp;"  "&amp;Criterios!B11</f>
        <v>Resumenes por Partidos Judiciales  CASPE</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s8k37F+NVU8NCiyORBab5UxEaQDbA/6IGBSY93cTyec1DJ5aN9KlfPWm/tTTgbRlgPUMtSO+UcEoRzqd2XuMSw==" saltValue="jMYcXapNKKzDTjKLEpSCY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ARAGON</v>
      </c>
      <c r="C2" s="438"/>
      <c r="D2" s="381"/>
    </row>
    <row r="3" spans="1:9" ht="19.5">
      <c r="A3" s="439" t="s">
        <v>11</v>
      </c>
      <c r="B3" s="440" t="str">
        <f>Criterios!A10 &amp;"  "&amp;Criterios!B10</f>
        <v>Provincias  ZARAGOZA</v>
      </c>
      <c r="C3" s="438"/>
      <c r="D3" s="439"/>
    </row>
    <row r="4" spans="1:9" ht="13.5" thickBot="1">
      <c r="B4" s="440" t="str">
        <f>Criterios!A11 &amp;"  "&amp;Criterios!B11</f>
        <v>Resumenes por Partidos Judiciales  CASPE</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16</v>
      </c>
      <c r="E12" s="415">
        <f t="shared" si="0"/>
        <v>16</v>
      </c>
      <c r="F12" s="414">
        <f>IF(ISNUMBER(Datos!N12),Datos!N12," - ")</f>
        <v>22</v>
      </c>
      <c r="G12" s="415">
        <f t="shared" si="1"/>
        <v>22</v>
      </c>
      <c r="H12" s="414">
        <f>IF(ISNUMBER(Datos!O12),Datos!O12," - ")</f>
        <v>11</v>
      </c>
      <c r="I12" s="415">
        <f t="shared" si="2"/>
        <v>11</v>
      </c>
    </row>
    <row r="13" spans="1:9" ht="14.25" thickTop="1" thickBot="1">
      <c r="A13" s="994" t="str">
        <f>Datos!A13</f>
        <v>TOTAL</v>
      </c>
      <c r="B13" s="995">
        <f>Datos!AO13</f>
        <v>2</v>
      </c>
      <c r="C13" s="997">
        <f>Datos!AR13</f>
        <v>1</v>
      </c>
      <c r="D13" s="995">
        <f>SUBTOTAL(9,D9:D12)</f>
        <v>16</v>
      </c>
      <c r="E13" s="996">
        <f t="shared" si="0"/>
        <v>8</v>
      </c>
      <c r="F13" s="995">
        <f>SUBTOTAL(9,F9:F12)</f>
        <v>22</v>
      </c>
      <c r="G13" s="996">
        <f t="shared" si="1"/>
        <v>11</v>
      </c>
      <c r="H13" s="995">
        <f>SUBTOTAL(9,H9:H12)</f>
        <v>11</v>
      </c>
      <c r="I13" s="996">
        <f>IF(ISNUMBER(H13/B13),H13/B13," - ")</f>
        <v>5.5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17</v>
      </c>
      <c r="E16" s="415">
        <f t="shared" si="3"/>
        <v>17</v>
      </c>
      <c r="F16" s="414">
        <f>IF(ISNUMBER(Datos!N16),Datos!N16," - ")</f>
        <v>120</v>
      </c>
      <c r="G16" s="415">
        <f t="shared" si="4"/>
        <v>120</v>
      </c>
      <c r="H16" s="414">
        <f>IF(ISNUMBER(Datos!O16),Datos!O16," - ")</f>
        <v>1</v>
      </c>
      <c r="I16" s="415">
        <f t="shared" si="5"/>
        <v>1</v>
      </c>
    </row>
    <row r="17" spans="1:9" ht="13.5" thickBot="1">
      <c r="A17" s="413" t="str">
        <f>Datos!A17</f>
        <v>Jdos. Violencia contra la mujer</v>
      </c>
      <c r="B17" s="443">
        <f>Datos!AO17</f>
        <v>1</v>
      </c>
      <c r="C17" s="444">
        <f>Datos!AQ17</f>
        <v>0</v>
      </c>
      <c r="D17" s="414">
        <f>IF(ISNUMBER(Datos!M17),Datos!M17," - ")</f>
        <v>3</v>
      </c>
      <c r="E17" s="415">
        <f>IF(ISNUMBER(D17/B17),D17/B17," - ")</f>
        <v>3</v>
      </c>
      <c r="F17" s="414">
        <f>IF(ISNUMBER(Datos!N17),Datos!N17," - ")</f>
        <v>23</v>
      </c>
      <c r="G17" s="415">
        <f>IF(ISNUMBER(F17/B17),F17/B17," - ")</f>
        <v>23</v>
      </c>
      <c r="H17" s="414">
        <f>IF(ISNUMBER(Datos!O17),Datos!O17," - ")</f>
        <v>0</v>
      </c>
      <c r="I17" s="415">
        <f t="shared" si="5"/>
        <v>0</v>
      </c>
    </row>
    <row r="18" spans="1:9" ht="14.25" thickTop="1" thickBot="1">
      <c r="A18" s="994" t="str">
        <f>Datos!A18</f>
        <v>TOTAL</v>
      </c>
      <c r="B18" s="995">
        <f>Datos!AO18</f>
        <v>2</v>
      </c>
      <c r="C18" s="997">
        <f>Datos!AR18</f>
        <v>1</v>
      </c>
      <c r="D18" s="995">
        <f>SUBTOTAL(9,D15:D17)</f>
        <v>20</v>
      </c>
      <c r="E18" s="996">
        <f t="shared" si="3"/>
        <v>10</v>
      </c>
      <c r="F18" s="995">
        <f>SUBTOTAL(9,F15:F17)</f>
        <v>143</v>
      </c>
      <c r="G18" s="996">
        <f t="shared" si="4"/>
        <v>71.5</v>
      </c>
      <c r="H18" s="995">
        <f>SUBTOTAL(9,H15:H17)</f>
        <v>1</v>
      </c>
      <c r="I18" s="996">
        <f>IF(ISNUMBER(H18/B18),H18/B18," - ")</f>
        <v>0.5</v>
      </c>
    </row>
    <row r="19" spans="1:9" ht="14.25" thickTop="1" thickBot="1">
      <c r="A19" s="939" t="str">
        <f>Datos!A19</f>
        <v>TOTAL JURISDICCIONES</v>
      </c>
      <c r="B19" s="940">
        <f>Datos!AP19</f>
        <v>1</v>
      </c>
      <c r="C19" s="940">
        <f>Datos!AR19</f>
        <v>1</v>
      </c>
      <c r="D19" s="940">
        <f>SUBTOTAL(9,D8:D18)</f>
        <v>36</v>
      </c>
      <c r="E19" s="941">
        <f>IF(ISNUMBER(D19/B19),D19/B19," - ")</f>
        <v>36</v>
      </c>
      <c r="F19" s="940">
        <f>SUBTOTAL(9,F8:F18)</f>
        <v>165</v>
      </c>
      <c r="G19" s="941">
        <f>IF(ISNUMBER(F19/B19),F19/B19," - ")</f>
        <v>165</v>
      </c>
      <c r="H19" s="940">
        <f>SUBTOTAL(9,H8:H18)</f>
        <v>12</v>
      </c>
      <c r="I19" s="941">
        <f>IF(ISNUMBER(H19/B19),H19/B19," - ")</f>
        <v>12</v>
      </c>
    </row>
    <row r="22" spans="1:9">
      <c r="A22" s="402" t="str">
        <f>Criterios!A4</f>
        <v>Fecha Informe: 29 nov. 2023</v>
      </c>
    </row>
    <row r="27" spans="1:9">
      <c r="A27" s="425"/>
    </row>
  </sheetData>
  <sheetProtection algorithmName="SHA-512" hashValue="iQIZnhm0iTwfrT0qUUXKDqLzUrok1Fwwqq5qC3jVicKYX+tbmIWCcU/TdrTZeZaTra5/rqPuVT7WfpdEnELWIg==" saltValue="ktxazUQ5LR/4rtgk7rwbe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ARAGON</v>
      </c>
    </row>
    <row r="3" spans="1:4" ht="19.5">
      <c r="A3" s="445" t="s">
        <v>32</v>
      </c>
      <c r="B3" s="402" t="str">
        <f>Criterios!A10 &amp;"  "&amp;Criterios!B10</f>
        <v>Provincias  ZARAGOZA</v>
      </c>
    </row>
    <row r="4" spans="1:4" ht="13.5" thickBot="1">
      <c r="B4" s="402" t="str">
        <f>Criterios!A11 &amp;"  "&amp;Criterios!B11</f>
        <v>Resumenes por Partidos Judiciales  CASPE</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24</v>
      </c>
      <c r="C12" s="450">
        <f>IF(ISNUMBER(Datos!Q12),Datos!Q12," - ")</f>
        <v>20</v>
      </c>
      <c r="D12" s="419">
        <f>IF(ISNUMBER(Datos!R12),Datos!R12," - ")</f>
        <v>438</v>
      </c>
    </row>
    <row r="13" spans="1:4" ht="14.25" thickTop="1" thickBot="1">
      <c r="A13" s="994" t="str">
        <f>Datos!A13</f>
        <v>TOTAL</v>
      </c>
      <c r="B13" s="995">
        <f>SUBTOTAL(9,B9:B12)</f>
        <v>24</v>
      </c>
      <c r="C13" s="999">
        <f>SUBTOTAL(9,C9:C12)</f>
        <v>20</v>
      </c>
      <c r="D13" s="997">
        <f>SUBTOTAL(9,D9:D12)</f>
        <v>438</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v>
      </c>
      <c r="C16" s="450">
        <f>IF(ISNUMBER(Datos!Q16),Datos!Q16," - ")</f>
        <v>1</v>
      </c>
      <c r="D16" s="419">
        <f>IF(ISNUMBER(Datos!R16),Datos!R16," - ")</f>
        <v>34</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3</v>
      </c>
      <c r="C18" s="999">
        <f>SUBTOTAL(9,C15:C17)</f>
        <v>1</v>
      </c>
      <c r="D18" s="997">
        <f>SUBTOTAL(9,D15:D17)</f>
        <v>34</v>
      </c>
    </row>
    <row r="19" spans="1:4" ht="16.5" customHeight="1" thickTop="1" thickBot="1">
      <c r="A19" s="939" t="str">
        <f>Datos!A19</f>
        <v>TOTAL JURISDICCIONES</v>
      </c>
      <c r="B19" s="944">
        <f>SUBTOTAL(9,B8:B18)</f>
        <v>27</v>
      </c>
      <c r="C19" s="945">
        <f>SUBTOTAL(9,C8:C18)</f>
        <v>21</v>
      </c>
      <c r="D19" s="946">
        <f>SUBTOTAL(9,D8:D18)</f>
        <v>472</v>
      </c>
    </row>
    <row r="20" spans="1:4" ht="7.5" customHeight="1"/>
    <row r="21" spans="1:4" ht="6" customHeight="1"/>
    <row r="22" spans="1:4">
      <c r="A22" s="402" t="str">
        <f>Criterios!A4</f>
        <v>Fecha Informe: 29 nov. 2023</v>
      </c>
    </row>
    <row r="27" spans="1:4">
      <c r="A27" s="425"/>
    </row>
  </sheetData>
  <sheetProtection algorithmName="SHA-512" hashValue="dkmaLroVpmDMhtNwRiRKwmvfoHhIP3Zb5UFoOYMk0wsX2drwzEkItZtizRRk5d96zdx8pH732my52qisHFk9bQ==" saltValue="3YIzwUBQ+B3dm97UXQg0A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ARAGON</v>
      </c>
    </row>
    <row r="3" spans="1:11" ht="18.75" customHeight="1">
      <c r="A3" s="445" t="s">
        <v>118</v>
      </c>
      <c r="B3" s="402" t="str">
        <f>Criterios!A10 &amp;"  "&amp;Criterios!B10</f>
        <v>Provincias  ZARAGOZA</v>
      </c>
    </row>
    <row r="4" spans="1:11" ht="10.5" customHeight="1" thickBot="1">
      <c r="B4" s="402" t="str">
        <f>Criterios!A11 &amp;"  "&amp;Criterios!B11</f>
        <v>Resumenes por Partidos Judiciales  CASPE</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-0.5714285714285714</v>
      </c>
      <c r="C10" s="472">
        <f>IF(ISNUMBER((Datos!J10-Datos!T10)/Datos!T10),(Datos!J10-Datos!T10)/Datos!T10," - ")</f>
        <v>-0.66666666666666663</v>
      </c>
      <c r="D10" s="472" t="str">
        <f>IF(ISNUMBER((Datos!K10-Datos!U10)/Datos!U10),(Datos!K10-Datos!U10)/Datos!U10," - ")</f>
        <v xml:space="preserve"> - </v>
      </c>
      <c r="E10" s="472">
        <f>IF(ISNUMBER((Datos!L10-Datos!V10)/Datos!V10),(Datos!L10-Datos!V10)/Datos!V10," - ")</f>
        <v>-0.6</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0.76764705882352946</v>
      </c>
      <c r="C12" s="472">
        <f>IF(ISNUMBER(
   IF(J_V="SI",(Datos!J12-Datos!T12)/Datos!T12,(Datos!J12+Datos!Z12-(Datos!T12+Datos!AH12))/(Datos!T12+Datos!AH12))
     ),IF(J_V="SI",(Datos!J12-Datos!T12)/Datos!T12,(Datos!J12+Datos!Z12-(Datos!T12+Datos!AH12))/(Datos!T12+Datos!AH12))," - ")</f>
        <v>-0.52112676056338025</v>
      </c>
      <c r="D12" s="472">
        <f>IF(ISNUMBER(
   IF(J_V="SI",(Datos!K12-Datos!U12)/Datos!U12,(Datos!K12+Datos!AA12-(Datos!U12+Datos!AI12))/(Datos!U12+Datos!AI12))
     ),IF(J_V="SI",(Datos!K12-Datos!U12)/Datos!U12,(Datos!K12+Datos!AA12-(Datos!U12+Datos!AI12))/(Datos!U12+Datos!AI12))," - ")</f>
        <v>-0.29213483146067415</v>
      </c>
      <c r="E12" s="472">
        <f>IF(ISNUMBER(
   IF(J_V="SI",(Datos!L12-Datos!V12)/Datos!V12,(Datos!L12+Datos!AB12-(Datos!V12+Datos!AJ12))/(Datos!V12+Datos!AJ12))
     ),IF(J_V="SI",(Datos!L12-Datos!V12)/Datos!V12,(Datos!L12+Datos!AB12-(Datos!V12+Datos!AJ12))/(Datos!V12+Datos!AJ12))," - ")</f>
        <v>0.53807106598984766</v>
      </c>
      <c r="F12" s="472">
        <f>IF(ISNUMBER((Datos!M12-Datos!W12)/Datos!W12),(Datos!M12-Datos!W12)/Datos!W12," - ")</f>
        <v>-0.30434782608695654</v>
      </c>
      <c r="G12" s="473">
        <f>IF(ISNUMBER((Datos!N12-Datos!X12)/Datos!X12),(Datos!N12-Datos!X12)/Datos!X12," - ")</f>
        <v>-0.45</v>
      </c>
      <c r="H12" s="471">
        <f>IF(ISNUMBER(((NºAsuntos!G12/NºAsuntos!E12)-Datos!BD12)/Datos!BD12),((NºAsuntos!G12/NºAsuntos!E12)-Datos!BD12)/Datos!BD12," - ")</f>
        <v>0.47818902842035682</v>
      </c>
      <c r="I12" s="472">
        <f>IF(ISNUMBER(((NºAsuntos!I12/NºAsuntos!G12)-Datos!BE12)/Datos!BE12),((NºAsuntos!I12/NºAsuntos!G12)-Datos!BE12)/Datos!BE12," - ")</f>
        <v>1.1728305535412136</v>
      </c>
      <c r="J12" s="477">
        <f>IF(ISNUMBER((('Resol  Asuntos'!D12/NºAsuntos!G12)-Datos!BF12)/Datos!BF12),(('Resol  Asuntos'!D12/NºAsuntos!G12)-Datos!BF12)/Datos!BF12," - ")</f>
        <v>-0.43492063492063493</v>
      </c>
      <c r="K12" s="478">
        <f>IF(ISNUMBER((((NºAsuntos!C12+NºAsuntos!E12)/NºAsuntos!G12)-Datos!BG12)/Datos!BG12),(((NºAsuntos!C12+NºAsuntos!E12)/NºAsuntos!G12)-Datos!BG12)/Datos!BG12," - ")</f>
        <v>0.96077850227227801</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0.74063400576368876</v>
      </c>
      <c r="C13" s="1001">
        <f>IF(ISNUMBER(
   IF(J_V="SI",(Datos!J13-Datos!T13)/Datos!T13,(Datos!J13+Datos!Z13-(Datos!T13+Datos!AH13))/(Datos!T13+Datos!AH13))
     ),IF(J_V="SI",(Datos!J13-Datos!T13)/Datos!T13,(Datos!J13+Datos!Z13-(Datos!T13+Datos!AH13))/(Datos!T13+Datos!AH13))," - ")</f>
        <v>-0.52413793103448281</v>
      </c>
      <c r="D13" s="1001">
        <f>IF(ISNUMBER(
   IF(J_V="SI",(Datos!K13-Datos!U13)/Datos!U13,(Datos!K13+Datos!AA13-(Datos!U13+Datos!AI13))/(Datos!U13+Datos!AI13))
     ),IF(J_V="SI",(Datos!K13-Datos!U13)/Datos!U13,(Datos!K13+Datos!AA13-(Datos!U13+Datos!AI13))/(Datos!U13+Datos!AI13))," - ")</f>
        <v>-0.29213483146067415</v>
      </c>
      <c r="E13" s="1001">
        <f>IF(ISNUMBER(
   IF(J_V="SI",(Datos!L13-Datos!V13)/Datos!V13,(Datos!L13+Datos!AB13-(Datos!V13+Datos!AJ13))/(Datos!V13+Datos!AJ13))
     ),IF(J_V="SI",(Datos!L13-Datos!V13)/Datos!V13,(Datos!L13+Datos!AB13-(Datos!V13+Datos!AJ13))/(Datos!V13+Datos!AJ13))," - ")</f>
        <v>0.50990099009900991</v>
      </c>
      <c r="F13" s="1002">
        <f>IF(ISNUMBER((Datos!M13-Datos!W13)/Datos!W13),(Datos!M13-Datos!W13)/Datos!W13," - ")</f>
        <v>-0.30434782608695654</v>
      </c>
      <c r="G13" s="1003">
        <f>IF(ISNUMBER((Datos!N13-Datos!X13)/Datos!X13),(Datos!N13-Datos!X13)/Datos!X13," - ")</f>
        <v>-0.45</v>
      </c>
      <c r="H13" s="1003">
        <f>IF(ISNUMBER(((NºAsuntos!G13/NºAsuntos!E13)-Datos!BD13)/Datos!BD13),((NºAsuntos!G13/NºAsuntos!E13)-Datos!BD13)/Datos!BD13," - ")</f>
        <v>0.48754274548119186</v>
      </c>
      <c r="I13" s="1003">
        <f>IF(ISNUMBER(((NºAsuntos!I13/NºAsuntos!G13)-Datos!BE13)/Datos!BE13),((NºAsuntos!I13/NºAsuntos!G13)-Datos!BE13)/Datos!BE13," - ")</f>
        <v>1.1330347320446328</v>
      </c>
      <c r="J13" s="1003">
        <f>IF(ISNUMBER((('Resol  Asuntos'!D13/NºAsuntos!G13)-Datos!BF13)/Datos!BF13),(('Resol  Asuntos'!D13/NºAsuntos!G13)-Datos!BF13)/Datos!BF13," - ")</f>
        <v>-0.43492063492063493</v>
      </c>
      <c r="K13" s="1003">
        <f>IF(ISNUMBER((((NºAsuntos!C13+NºAsuntos!E13)/NºAsuntos!G13)-Datos!BG13)/Datos!BG13),(((NºAsuntos!C13+NºAsuntos!E13)/NºAsuntos!G13)-Datos!BG13)/Datos!BG13," - ")</f>
        <v>0.93241063363014565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-7.2727272727272724E-2</v>
      </c>
      <c r="C16" s="472">
        <f>IF(ISNUMBER(
   IF(D_I="SI",(Datos!J16-Datos!T16)/Datos!T16,(Datos!J16+Datos!AD16-(Datos!T16+Datos!AL16))/(Datos!T16+Datos!AL16))
     ),IF(D_I="SI",(Datos!J16-Datos!T16)/Datos!T16,(Datos!J16+Datos!AD16-(Datos!T16+Datos!AL16))/(Datos!T16+Datos!AL16))," - ")</f>
        <v>-7.9365079365079361E-2</v>
      </c>
      <c r="D16" s="472">
        <f>IF(ISNUMBER(
   IF(D_I="SI",(Datos!K16-Datos!U16)/Datos!U16,(Datos!K16+Datos!AE16-(Datos!U16+Datos!AM16))/(Datos!U16+Datos!AM16))
     ),IF(D_I="SI",(Datos!K16-Datos!U16)/Datos!U16,(Datos!K16+Datos!AE16-(Datos!U16+Datos!AM16))/(Datos!U16+Datos!AM16))," - ")</f>
        <v>-0.16334661354581673</v>
      </c>
      <c r="E16" s="472">
        <f>IF(ISNUMBER(
   IF(D_I="SI",(Datos!L16-Datos!V16)/Datos!V16,(Datos!L16+Datos!AF16-(Datos!V16+Datos!AN16))/(Datos!V16+Datos!AN16))
     ),IF(D_I="SI",(Datos!L16-Datos!V16)/Datos!V16,(Datos!L16+Datos!AF16-(Datos!V16+Datos!AN16))/(Datos!V16+Datos!AN16))," - ")</f>
        <v>-2.1052631578947368E-2</v>
      </c>
      <c r="F16" s="472">
        <f>IF(ISNUMBER((Datos!M16-Datos!W16)/Datos!W16),(Datos!M16-Datos!W16)/Datos!W16," - ")</f>
        <v>-0.22727272727272727</v>
      </c>
      <c r="G16" s="473">
        <f>IF(ISNUMBER((Datos!N16-Datos!X16)/Datos!X16),(Datos!N16-Datos!X16)/Datos!X16," - ")</f>
        <v>-7.6923076923076927E-2</v>
      </c>
      <c r="H16" s="471">
        <f>IF(ISNUMBER(((NºAsuntos!G16/NºAsuntos!E16)-Datos!BD16)/Datos!BD16),((NºAsuntos!G16/NºAsuntos!E16)-Datos!BD16)/Datos!BD16," - ")</f>
        <v>-9.1221321610111317E-2</v>
      </c>
      <c r="I16" s="472">
        <f>IF(ISNUMBER(((NºAsuntos!I16/NºAsuntos!G16)-Datos!BE16)/Datos!BE16),((NºAsuntos!I16/NºAsuntos!G16)-Datos!BE16)/Datos!BE16," - ")</f>
        <v>0.17007518796992466</v>
      </c>
      <c r="J16" s="477">
        <f>IF(ISNUMBER((('Resol  Asuntos'!D16/NºAsuntos!G16)-Datos!BF16)/Datos!BF16),(('Resol  Asuntos'!D16/NºAsuntos!G16)-Datos!BF16)/Datos!BF16," - ")</f>
        <v>-7.6406926406926423E-2</v>
      </c>
      <c r="K16" s="478">
        <f>IF(ISNUMBER((((NºAsuntos!C16+NºAsuntos!E16)/NºAsuntos!G16)-Datos!BG16)/Datos!BG16),(((NºAsuntos!C16+NºAsuntos!E16)/NºAsuntos!G16)-Datos!BG16)/Datos!BG16," - ")</f>
        <v>0.10451793620674091</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v>
      </c>
      <c r="C17" s="472">
        <f>IF(ISNUMBER(
   IF(D_I="SI",(Datos!J17-Datos!T17)/Datos!T17,(Datos!J17+Datos!AD17-(Datos!T17+Datos!AL17))/(Datos!T17+Datos!AL17))
     ),IF(D_I="SI",(Datos!J17-Datos!T17)/Datos!T17,(Datos!J17+Datos!AD17-(Datos!T17+Datos!AL17))/(Datos!T17+Datos!AL17))," - ")</f>
        <v>-0.21951219512195122</v>
      </c>
      <c r="D17" s="472">
        <f>IF(ISNUMBER(
   IF(D_I="SI",(Datos!K17-Datos!U17)/Datos!U17,(Datos!K17+Datos!AE17-(Datos!U17+Datos!AM17))/(Datos!U17+Datos!AM17))
     ),IF(D_I="SI",(Datos!K17-Datos!U17)/Datos!U17,(Datos!K17+Datos!AE17-(Datos!U17+Datos!AM17))/(Datos!U17+Datos!AM17))," - ")</f>
        <v>-0.14705882352941177</v>
      </c>
      <c r="E17" s="472">
        <f>IF(ISNUMBER(
   IF(D_I="SI",(Datos!L17-Datos!V17)/Datos!V17,(Datos!L17+Datos!AF17-(Datos!V17+Datos!AN17))/(Datos!V17+Datos!AN17))
     ),IF(D_I="SI",(Datos!L17-Datos!V17)/Datos!V17,(Datos!L17+Datos!AF17-(Datos!V17+Datos!AN17))/(Datos!V17+Datos!AN17))," - ")</f>
        <v>-0.22222222222222221</v>
      </c>
      <c r="F17" s="472">
        <f>IF(ISNUMBER((Datos!M17-Datos!W17)/Datos!W17),(Datos!M17-Datos!W17)/Datos!W17," - ")</f>
        <v>0.5</v>
      </c>
      <c r="G17" s="473">
        <f>IF(ISNUMBER((Datos!N17-Datos!X17)/Datos!X17),(Datos!N17-Datos!X17)/Datos!X17," - ")</f>
        <v>9.5238095238095233E-2</v>
      </c>
      <c r="H17" s="471">
        <f>IF(ISNUMBER(((NºAsuntos!G17/NºAsuntos!E17)-Datos!BD17)/Datos!BD17),((NºAsuntos!G17/NºAsuntos!E17)-Datos!BD17)/Datos!BD17," - ")</f>
        <v>9.2830882352941235E-2</v>
      </c>
      <c r="I17" s="472">
        <f>IF(ISNUMBER(((NºAsuntos!I17/NºAsuntos!G17)-Datos!BE17)/Datos!BE17),((NºAsuntos!I17/NºAsuntos!G17)-Datos!BE17)/Datos!BE17," - ")</f>
        <v>-8.8122605363984641E-2</v>
      </c>
      <c r="J17" s="477">
        <f>IF(ISNUMBER((('Resol  Asuntos'!D17/NºAsuntos!G17)-Datos!BF17)/Datos!BF17),(('Resol  Asuntos'!D17/NºAsuntos!G17)-Datos!BF17)/Datos!BF17," - ")</f>
        <v>0.75862068965517238</v>
      </c>
      <c r="K17" s="478">
        <f>IF(ISNUMBER((((NºAsuntos!C17+NºAsuntos!E17)/NºAsuntos!G17)-Datos!BG17)/Datos!BG17),(((NºAsuntos!C17+NºAsuntos!E17)/NºAsuntos!G17)-Datos!BG17)/Datos!BG17," - ")</f>
        <v>-1.1494252873563168E-2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-6.6666666666666666E-2</v>
      </c>
      <c r="C18" s="1001">
        <f>IF(ISNUMBER(
   IF(Criterios!B14="SI",(Datos!J18-Datos!T18)/Datos!T18,(Datos!J18+Datos!AD18-(Datos!T18+Datos!AL18))/(Datos!T18+Datos!AL18))
     ),IF(Criterios!B14="SI",(Datos!J18-Datos!T18)/Datos!T18,(Datos!J18+Datos!AD18-(Datos!T18+Datos!AL18))/(Datos!T18+Datos!AL18))," - ")</f>
        <v>-9.8976109215017066E-2</v>
      </c>
      <c r="D18" s="1001">
        <f>IF(ISNUMBER(
   IF(Criterios!B14="SI",(Datos!K18-Datos!U18)/Datos!U18,(Datos!K18+Datos!AE18-(Datos!U18+Datos!AM18))/(Datos!U18+Datos!AM18))
     ),IF(Criterios!B14="SI",(Datos!K18-Datos!U18)/Datos!U18,(Datos!K18+Datos!AE18-(Datos!U18+Datos!AM18))/(Datos!U18+Datos!AM18))," - ")</f>
        <v>-0.16140350877192983</v>
      </c>
      <c r="E18" s="1001">
        <f>IF(ISNUMBER(
   IF(Criterios!B14="SI",(Datos!L18-Datos!V18)/Datos!V18,(Datos!L18+Datos!AF18-(Datos!V18+Datos!AN18))/(Datos!V18+Datos!AN18))
     ),IF(Criterios!B14="SI",(Datos!L18-Datos!V18)/Datos!V18,(Datos!L18+Datos!AF18-(Datos!V18+Datos!AN18))/(Datos!V18+Datos!AN18))," - ")</f>
        <v>-3.3003300330033E-2</v>
      </c>
      <c r="F18" s="1002">
        <f>IF(ISNUMBER((Datos!M18-Datos!W18)/Datos!W18),(Datos!M18-Datos!W18)/Datos!W18," - ")</f>
        <v>-0.16666666666666666</v>
      </c>
      <c r="G18" s="1003">
        <f>IF(ISNUMBER((Datos!N18-Datos!X18)/Datos!X18),(Datos!N18-Datos!X18)/Datos!X18," - ")</f>
        <v>-5.2980132450331126E-2</v>
      </c>
      <c r="H18" s="1003">
        <f>IF(ISNUMBER(((NºAsuntos!G18/NºAsuntos!E18)-Datos!BD18)/Datos!BD18),((NºAsuntos!G18/NºAsuntos!E18)-Datos!BD18)/Datos!BD18," - ")</f>
        <v>-6.9284954811270671E-2</v>
      </c>
      <c r="I18" s="1003">
        <f>IF(ISNUMBER(((NºAsuntos!I18/NºAsuntos!G18)-Datos!BE18)/Datos!BE18),((NºAsuntos!I18/NºAsuntos!G18)-Datos!BE18)/Datos!BE18," - ")</f>
        <v>0.15311321927171803</v>
      </c>
      <c r="J18" s="1003">
        <f>IF(ISNUMBER((('Resol  Asuntos'!D18/NºAsuntos!G18)-Datos!BF18)/Datos!BF18),(('Resol  Asuntos'!D18/NºAsuntos!G18)-Datos!BF18)/Datos!BF18," - ")</f>
        <v>-6.2761506276150843E-3</v>
      </c>
      <c r="K18" s="1003">
        <f>IF(ISNUMBER((((NºAsuntos!C18+NºAsuntos!E18)/NºAsuntos!G18)-Datos!BG18)/Datos!BG18),(((NºAsuntos!C18+NºAsuntos!E18)/NºAsuntos!G18)-Datos!BG18)/Datos!BG18," - ")</f>
        <v>9.3440083392451148E-2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0.37658227848101267</v>
      </c>
      <c r="C19" s="948">
        <f>IF(ISNUMBER(
   IF(J_V="SI",(Datos!J19-Datos!T19)/Datos!T19,(Datos!J19+Datos!Z19-(Datos!T19+Datos!AH19))/(Datos!T19+Datos!AH19))
     ),IF(J_V="SI",(Datos!J19-Datos!T19)/Datos!T19,(Datos!J19+Datos!Z19-(Datos!T19+Datos!AH19))/(Datos!T19+Datos!AH19))," - ")</f>
        <v>-0.23972602739726026</v>
      </c>
      <c r="D19" s="948">
        <f>IF(ISNUMBER(
   IF(J_V="SI",(Datos!K19-Datos!U19)/Datos!U19,(Datos!K19+Datos!AA19-(Datos!U19+Datos!AI19))/(Datos!U19+Datos!AI19))
     ),IF(J_V="SI",(Datos!K19-Datos!U19)/Datos!U19,(Datos!K19+Datos!AA19-(Datos!U19+Datos!AI19))/(Datos!U19+Datos!AI19))," - ")</f>
        <v>-0.19251336898395721</v>
      </c>
      <c r="E19" s="948">
        <f>IF(ISNUMBER(
   IF(J_V="SI",(Datos!L19-Datos!V19)/Datos!V19,(Datos!L19+Datos!AB19-(Datos!V19+Datos!AJ19))/(Datos!V19+Datos!AJ19))
     ),IF(J_V="SI",(Datos!L19-Datos!V19)/Datos!V19,(Datos!L19+Datos!AB19-(Datos!V19+Datos!AJ19))/(Datos!V19+Datos!AJ19))," - ")</f>
        <v>0.27722772277227725</v>
      </c>
      <c r="F19" s="949">
        <f>IF(ISNUMBER((Datos!M19-Datos!W19)/Datos!W19),(Datos!M19-Datos!W19)/Datos!W19," - ")</f>
        <v>-0.23404255319148937</v>
      </c>
      <c r="G19" s="950">
        <f>IF(ISNUMBER((Datos!N19-Datos!X19)/Datos!X19),(Datos!N19-Datos!X19)/Datos!X19," - ")</f>
        <v>-0.13612565445026178</v>
      </c>
      <c r="H19" s="951">
        <f>IF(ISNUMBER((Tasas!B19-Datos!BD19)/Datos!BD19),(Tasas!B19-Datos!BD19)/Datos!BD19," - ")</f>
        <v>6.209953268776796E-2</v>
      </c>
      <c r="I19" s="952">
        <f>IF(ISNUMBER((Tasas!C19-Datos!BE19)/Datos!BE19),(Tasas!C19-Datos!BE19)/Datos!BE19," - ")</f>
        <v>0.58173234541997232</v>
      </c>
      <c r="J19" s="953">
        <f>IF(ISNUMBER((Tasas!D19-Datos!BF19)/Datos!BF19),(Tasas!D19-Datos!BF19)/Datos!BF19," - ")</f>
        <v>-0.30339403973509932</v>
      </c>
      <c r="K19" s="953">
        <f>IF(ISNUMBER((Tasas!E19-Datos!BG19)/Datos!BG19),(Tasas!E19-Datos!BG19)/Datos!BG19," - ")</f>
        <v>0.39234387571950247</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g4Osz7O6WiLfy0lBRKzA/OyU6PBSxew7tcSGXxCaNG/H8Z0jSRNOxLh0pbcbW5Sq/MusWC9xwdzF4xwUYmwoFA==" saltValue="53XjoJq9MlR47TK9lu27U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ARAGON</v>
      </c>
    </row>
    <row r="3" spans="1:7" ht="19.5">
      <c r="A3" s="452" t="s">
        <v>12</v>
      </c>
      <c r="B3" s="402" t="str">
        <f>Criterios!A10 &amp;"  "&amp;Criterios!B10</f>
        <v>Provincias  ZARAGOZA</v>
      </c>
    </row>
    <row r="4" spans="1:7" ht="11.25" customHeight="1" thickBot="1">
      <c r="B4" s="402" t="str">
        <f>Criterios!A11 &amp;"  "&amp;Criterios!B11</f>
        <v>Resumenes por Partidos Judiciales  CASPE</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0.92647058823529416</v>
      </c>
      <c r="C12" s="459">
        <f>IF(ISNUMBER(NºAsuntos!I12/NºAsuntos!G12),NºAsuntos!I12/NºAsuntos!G12," - ")</f>
        <v>9.6190476190476186</v>
      </c>
      <c r="D12" s="460">
        <f>IF(ISNUMBER('Resol  Asuntos'!D12/NºAsuntos!G12),'Resol  Asuntos'!D12/NºAsuntos!G12," - ")</f>
        <v>0.25396825396825395</v>
      </c>
      <c r="E12" s="461">
        <f>IF(ISNUMBER((NºAsuntos!C12+NºAsuntos!E12)/NºAsuntos!G12),(NºAsuntos!C12+NºAsuntos!E12)/NºAsuntos!G12," - ")</f>
        <v>10.619047619047619</v>
      </c>
      <c r="G12" s="479"/>
    </row>
    <row r="13" spans="1:7" ht="14.25" thickTop="1" thickBot="1">
      <c r="A13" s="994" t="str">
        <f>Datos!A13</f>
        <v>TOTAL</v>
      </c>
      <c r="B13" s="1004">
        <f>IF(ISNUMBER(NºAsuntos!G13/NºAsuntos!E13),NºAsuntos!G13/NºAsuntos!E13," - ")</f>
        <v>0.91304347826086951</v>
      </c>
      <c r="C13" s="1005">
        <f>IF(ISNUMBER(NºAsuntos!I13/NºAsuntos!G13),NºAsuntos!I13/NºAsuntos!G13," - ")</f>
        <v>9.6825396825396819</v>
      </c>
      <c r="D13" s="1006">
        <f>IF(ISNUMBER('Resol  Asuntos'!D13/NºAsuntos!G13),'Resol  Asuntos'!D13/NºAsuntos!G13," - ")</f>
        <v>0.25396825396825395</v>
      </c>
      <c r="E13" s="1007">
        <f>IF(ISNUMBER((NºAsuntos!C13+NºAsuntos!E13)/NºAsuntos!G13),(NºAsuntos!C13+NºAsuntos!E13)/NºAsuntos!G13," - ")</f>
        <v>10.682539682539682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0.90517241379310343</v>
      </c>
      <c r="C16" s="459">
        <f>IF(ISNUMBER(NºAsuntos!I16/NºAsuntos!G16),NºAsuntos!I16/NºAsuntos!G16," - ")</f>
        <v>1.3285714285714285</v>
      </c>
      <c r="D16" s="460">
        <f>IF(ISNUMBER('Resol  Asuntos'!D16/NºAsuntos!G16),'Resol  Asuntos'!D16/NºAsuntos!G16," - ")</f>
        <v>8.0952380952380956E-2</v>
      </c>
      <c r="E16" s="461">
        <f>IF(ISNUMBER((NºAsuntos!C16+NºAsuntos!E16)/NºAsuntos!G16),(NºAsuntos!C16+NºAsuntos!E16)/NºAsuntos!G16," - ")</f>
        <v>2.3190476190476192</v>
      </c>
      <c r="G16" s="479"/>
    </row>
    <row r="17" spans="1:7" ht="13.5" thickBot="1">
      <c r="A17" s="413" t="str">
        <f>Datos!A17</f>
        <v>Jdos. Violencia contra la mujer</v>
      </c>
      <c r="B17" s="458">
        <f>IF(ISNUMBER(NºAsuntos!G17/NºAsuntos!E17),NºAsuntos!G17/NºAsuntos!E17," - ")</f>
        <v>0.90625</v>
      </c>
      <c r="C17" s="459">
        <f>IF(ISNUMBER(NºAsuntos!I17/NºAsuntos!G17),NºAsuntos!I17/NºAsuntos!G17," - ")</f>
        <v>0.48275862068965519</v>
      </c>
      <c r="D17" s="460">
        <f>IF(ISNUMBER('Resol  Asuntos'!D17/NºAsuntos!G17),'Resol  Asuntos'!D17/NºAsuntos!G17," - ")</f>
        <v>0.10344827586206896</v>
      </c>
      <c r="E17" s="461">
        <f>IF(ISNUMBER((NºAsuntos!C17+NºAsuntos!E17)/NºAsuntos!G17),(NºAsuntos!C17+NºAsuntos!E17)/NºAsuntos!G17," - ")</f>
        <v>1.4827586206896552</v>
      </c>
      <c r="G17" s="479"/>
    </row>
    <row r="18" spans="1:7" ht="14.25" thickTop="1" thickBot="1">
      <c r="A18" s="994" t="str">
        <f>Datos!A18</f>
        <v>TOTAL</v>
      </c>
      <c r="B18" s="1004">
        <f>IF(ISNUMBER(NºAsuntos!G18/NºAsuntos!E18),NºAsuntos!G18/NºAsuntos!E18," - ")</f>
        <v>0.90530303030303028</v>
      </c>
      <c r="C18" s="1005">
        <f>IF(ISNUMBER(NºAsuntos!I18/NºAsuntos!G18),NºAsuntos!I18/NºAsuntos!G18," - ")</f>
        <v>1.2259414225941423</v>
      </c>
      <c r="D18" s="1008">
        <f>IF(ISNUMBER('Resol  Asuntos'!D18/NºAsuntos!G18),'Resol  Asuntos'!D18/NºAsuntos!G18," - ")</f>
        <v>8.3682008368200833E-2</v>
      </c>
      <c r="E18" s="1007">
        <f>IF(ISNUMBER((NºAsuntos!C18+NºAsuntos!E18)/NºAsuntos!G18),(NºAsuntos!C18+NºAsuntos!E18)/NºAsuntos!G18," - ")</f>
        <v>2.2175732217573221</v>
      </c>
      <c r="G18" s="479"/>
    </row>
    <row r="19" spans="1:7" ht="15.75" customHeight="1" thickTop="1" thickBot="1">
      <c r="A19" s="939" t="str">
        <f>Datos!A19</f>
        <v>TOTAL JURISDICCIONES</v>
      </c>
      <c r="B19" s="954">
        <f>IF(ISNUMBER(NºAsuntos!G19/NºAsuntos!E19),NºAsuntos!G19/NºAsuntos!E19," - ")</f>
        <v>0.9069069069069069</v>
      </c>
      <c r="C19" s="955">
        <f>IF(ISNUMBER(NºAsuntos!I19/NºAsuntos!G19),NºAsuntos!I19/NºAsuntos!G19," - ")</f>
        <v>2.9900662251655628</v>
      </c>
      <c r="D19" s="956">
        <f>IF(ISNUMBER('Resol  Asuntos'!D19/NºAsuntos!G19),'Resol  Asuntos'!D19/NºAsuntos!G19," - ")</f>
        <v>0.11920529801324503</v>
      </c>
      <c r="E19" s="957">
        <f>IF(ISNUMBER((NºAsuntos!C19+NºAsuntos!E19)/NºAsuntos!G19),(NºAsuntos!C19+NºAsuntos!E19)/NºAsuntos!G19," - ")</f>
        <v>3.9834437086092715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xRAwI56JGjbbjelZYWk5YgZr/+6MFuGqPsEDT5qtwXwrrRWyZspDOAo5bjpxydiRN6QlDDyPkuKmuCxk+LAYXg==" saltValue="ZdeleBDlXxgehqJ6GvwtA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ARAGON</v>
      </c>
      <c r="G2" s="339"/>
      <c r="H2" s="338"/>
      <c r="I2" s="338"/>
      <c r="J2" s="338"/>
      <c r="K2" s="338"/>
      <c r="L2" s="338" t="str">
        <f>Criterios!A10 &amp;"  "&amp;Criterios!B10</f>
        <v>Provincias  ZARAGOZA</v>
      </c>
      <c r="N2" s="338" t="str">
        <f>Criterios!A11 &amp;"  "&amp;Criterios!B11</f>
        <v>Resumenes por Partidos Judiciales  CASPE</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v>
      </c>
      <c r="G10" s="342">
        <f>IF(ISNUMBER(Datos!I10),Datos!I10," - ")</f>
        <v>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4</v>
      </c>
      <c r="AB10" s="343">
        <f>IF(ISNUMBER(Datos!R10),Datos!R10," - ")</f>
        <v>0</v>
      </c>
      <c r="AC10" s="343">
        <f t="shared" ref="AC10:AC12" si="1">IF(ISNUMBER(AA10+AB10),AA10+AB10," - ")</f>
        <v>4</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20</v>
      </c>
      <c r="Y12" s="343">
        <f t="shared" si="0"/>
        <v>20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438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16</v>
      </c>
      <c r="AJ12" s="233" t="str">
        <f>IF(ISNUMBER(Datos!BW12),Datos!BW12," - ")</f>
        <v xml:space="preserve"> - </v>
      </c>
      <c r="AK12" s="232" t="str">
        <f>IF(ISNUMBER(Datos!BX12),Datos!BX12," - ")</f>
        <v xml:space="preserve"> - </v>
      </c>
      <c r="AL12" s="247">
        <f>IF(ISNUMBER(NºAsuntos!G12/NºAsuntos!E12),NºAsuntos!G12/NºAsuntos!E12," - ")</f>
        <v>0.92647058823529416</v>
      </c>
      <c r="AM12" s="264">
        <f>IF(ISNUMBER(((NºAsuntos!I12/NºAsuntos!G12)*11)/factor_trimestre),((NºAsuntos!I12/NºAsuntos!G12)*11)/factor_trimestre," - ")</f>
        <v>19.238095238095237</v>
      </c>
      <c r="AN12" s="248">
        <f>IF(ISNUMBER('Resol  Asuntos'!D12/NºAsuntos!G12),'Resol  Asuntos'!D12/NºAsuntos!G12," - ")</f>
        <v>0.25396825396825395</v>
      </c>
      <c r="AO12" s="249">
        <f>IF(ISNUMBER((NºAsuntos!C12+NºAsuntos!E12)/NºAsuntos!G12),(NºAsuntos!C12+NºAsuntos!E12)/NºAsuntos!G12," - ")</f>
        <v>10.619047619047619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3</v>
      </c>
      <c r="G13" s="1012">
        <f t="shared" si="3"/>
        <v>3</v>
      </c>
      <c r="H13" s="1011">
        <f t="shared" si="3"/>
        <v>0</v>
      </c>
      <c r="I13" s="1013">
        <f t="shared" si="3"/>
        <v>0</v>
      </c>
      <c r="J13" s="1013">
        <f t="shared" si="3"/>
        <v>0</v>
      </c>
      <c r="K13" s="1013">
        <f t="shared" si="3"/>
        <v>0</v>
      </c>
      <c r="L13" s="1013">
        <f t="shared" si="3"/>
        <v>24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20</v>
      </c>
      <c r="Y13" s="1014">
        <f t="shared" si="4"/>
        <v>20</v>
      </c>
      <c r="Z13" s="1014">
        <f t="shared" si="4"/>
        <v>0</v>
      </c>
      <c r="AA13" s="1014">
        <f t="shared" si="4"/>
        <v>4</v>
      </c>
      <c r="AB13" s="1014">
        <f t="shared" si="4"/>
        <v>438</v>
      </c>
      <c r="AC13" s="1014">
        <f t="shared" si="4"/>
        <v>4</v>
      </c>
      <c r="AD13" s="1014">
        <f t="shared" si="4"/>
        <v>0</v>
      </c>
      <c r="AE13" s="1018">
        <f t="shared" si="4"/>
        <v>0</v>
      </c>
      <c r="AF13" s="1011">
        <f t="shared" si="4"/>
        <v>0</v>
      </c>
      <c r="AG13" s="1019">
        <f t="shared" si="4"/>
        <v>0</v>
      </c>
      <c r="AH13" s="1016">
        <f t="shared" si="4"/>
        <v>0</v>
      </c>
      <c r="AI13" s="1011">
        <f t="shared" si="4"/>
        <v>16</v>
      </c>
      <c r="AJ13" s="1013">
        <f t="shared" si="4"/>
        <v>0</v>
      </c>
      <c r="AK13" s="1016">
        <f>SUBTOTAL(9,AK9:AK12)</f>
        <v>0</v>
      </c>
      <c r="AL13" s="1020">
        <f>IF(ISNUMBER(NºAsuntos!G13/NºAsuntos!E13),NºAsuntos!G13/NºAsuntos!E13," - ")</f>
        <v>0.91304347826086951</v>
      </c>
      <c r="AM13" s="1020">
        <f>IF(ISNUMBER(((NºAsuntos!I13/NºAsuntos!G13)*11)/factor_trimestre),((NºAsuntos!I13/NºAsuntos!G13)*11)/factor_trimestre," - ")</f>
        <v>19.365079365079364</v>
      </c>
      <c r="AN13" s="1021">
        <f>IF(ISNUMBER('Resol  Asuntos'!D13/NºAsuntos!G13),'Resol  Asuntos'!D13/NºAsuntos!G13," - ")</f>
        <v>0.25396825396825395</v>
      </c>
      <c r="AO13" s="1022">
        <f>IF(ISNUMBER((NºAsuntos!C13+NºAsuntos!E13)/NºAsuntos!G13),(NºAsuntos!C13+NºAsuntos!E13)/NºAsuntos!G13," - ")</f>
        <v>10.682539682539682</v>
      </c>
      <c r="AP13" s="1023" t="str">
        <f t="shared" si="2"/>
        <v xml:space="preserve"> - </v>
      </c>
      <c r="AQ13" s="1023">
        <f>IF(ISNUMBER((H13-W13+K13)/(F13)),(H13-W13+K13)/(F13)," - ")</f>
        <v>0</v>
      </c>
      <c r="AR13" s="1024">
        <f>IF(ISNUMBER((Datos!P13-Datos!Q13)/(Datos!R13-Datos!P13+Datos!Q13)),(Datos!P13-Datos!Q13)/(Datos!R13-Datos!P13+Datos!Q13)," - ")</f>
        <v>9.2165898617511521E-3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257</v>
      </c>
      <c r="G16" s="342">
        <f>IF(ISNUMBER(IF(D_I="SI",Datos!I16,Datos!I16+Datos!AC16)),IF(D_I="SI",Datos!I16,Datos!I16+Datos!AC16)," - ")</f>
        <v>255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210</v>
      </c>
      <c r="X16" s="230">
        <f>IF(ISNUMBER(Datos!Q16),Datos!Q16," - ")</f>
        <v>1</v>
      </c>
      <c r="Y16" s="343">
        <f t="shared" ref="Y16:Y17" si="7">SUM(W16:X16)</f>
        <v>211</v>
      </c>
      <c r="Z16" s="344" t="str">
        <f>IF(ISNUMBER(Datos!CC16),Datos!CC16," - ")</f>
        <v xml:space="preserve"> - </v>
      </c>
      <c r="AA16" s="341">
        <f>IF(ISNUMBER(IF(D_I="SI",Datos!L16,Datos!L16+Datos!AF16)),IF(D_I="SI",Datos!L16,Datos!L16+Datos!AF16)," - ")</f>
        <v>279</v>
      </c>
      <c r="AB16" s="343">
        <f>IF(ISNUMBER(Datos!R16),Datos!R16," - ")</f>
        <v>34</v>
      </c>
      <c r="AC16" s="343">
        <f t="shared" si="6"/>
        <v>313</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17</v>
      </c>
      <c r="AJ16" s="235" t="str">
        <f>IF(ISNUMBER(Datos!BW16),Datos!BW16," - ")</f>
        <v xml:space="preserve"> - </v>
      </c>
      <c r="AK16" s="236" t="str">
        <f>IF(ISNUMBER(Datos!BX16),Datos!BX16," - ")</f>
        <v xml:space="preserve"> - </v>
      </c>
      <c r="AL16" s="247">
        <f>IF(ISNUMBER(NºAsuntos!G16/NºAsuntos!E16),NºAsuntos!G16/NºAsuntos!E16," - ")</f>
        <v>0.90517241379310343</v>
      </c>
      <c r="AM16" s="264">
        <f>IF(ISNUMBER(((NºAsuntos!I16/NºAsuntos!G16)*11)/factor_trimestre),((NºAsuntos!I16/NºAsuntos!G16)*11)/factor_trimestre," - ")</f>
        <v>2.657142857142857</v>
      </c>
      <c r="AN16" s="248">
        <f>IF(ISNUMBER('Resol  Asuntos'!D16/NºAsuntos!G16),'Resol  Asuntos'!D16/NºAsuntos!G16," - ")</f>
        <v>8.0952380952380956E-2</v>
      </c>
      <c r="AO16" s="249">
        <f>IF(ISNUMBER((NºAsuntos!C16+NºAsuntos!E16)/NºAsuntos!G16),(NºAsuntos!C16+NºAsuntos!E16)/NºAsuntos!G16," - ")</f>
        <v>2.3190476190476192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29</v>
      </c>
      <c r="X17" s="230">
        <f>IF(ISNUMBER(Datos!Q17),Datos!Q17," - ")</f>
        <v>0</v>
      </c>
      <c r="Y17" s="343">
        <f t="shared" si="7"/>
        <v>29</v>
      </c>
      <c r="Z17" s="344" t="str">
        <f>IF(ISNUMBER(Datos!CC17),Datos!CC17," - ")</f>
        <v xml:space="preserve"> - </v>
      </c>
      <c r="AA17" s="341">
        <f>IF(ISNUMBER(Datos!L17),Datos!L17,"-")</f>
        <v>14</v>
      </c>
      <c r="AB17" s="343">
        <f>IF(ISNUMBER(Datos!R17),Datos!R17," - ")</f>
        <v>0</v>
      </c>
      <c r="AC17" s="343">
        <f t="shared" si="6"/>
        <v>14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v>
      </c>
      <c r="AJ17" s="235" t="str">
        <f>IF(ISNUMBER(Datos!BW17),Datos!BW17," - ")</f>
        <v xml:space="preserve"> - </v>
      </c>
      <c r="AK17" s="236" t="str">
        <f>IF(ISNUMBER(Datos!BX17),Datos!BX17," - ")</f>
        <v xml:space="preserve"> - </v>
      </c>
      <c r="AL17" s="247">
        <f>IF(ISNUMBER(NºAsuntos!G17/NºAsuntos!E17),NºAsuntos!G17/NºAsuntos!E17," - ")</f>
        <v>0.90625</v>
      </c>
      <c r="AM17" s="264">
        <f>IF(ISNUMBER(((NºAsuntos!I17/NºAsuntos!G17)*11)/factor_trimestre),((NºAsuntos!I17/NºAsuntos!G17)*11)/factor_trimestre," - ")</f>
        <v>0.96551724137931039</v>
      </c>
      <c r="AN17" s="248">
        <f>IF(ISNUMBER('Resol  Asuntos'!D17/NºAsuntos!G17),'Resol  Asuntos'!D17/NºAsuntos!G17," - ")</f>
        <v>0.10344827586206896</v>
      </c>
      <c r="AO17" s="249">
        <f>IF(ISNUMBER((NºAsuntos!C17+NºAsuntos!E17)/NºAsuntos!G17),(NºAsuntos!C17+NºAsuntos!E17)/NºAsuntos!G17," - ")</f>
        <v>1.4827586206896552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257</v>
      </c>
      <c r="G18" s="1012">
        <f>SUBTOTAL(9,G15:G17)</f>
        <v>266</v>
      </c>
      <c r="H18" s="1011">
        <f t="shared" ref="H18:O18" si="10">SUBTOTAL(9,H14:H17)</f>
        <v>0</v>
      </c>
      <c r="I18" s="1013">
        <f t="shared" si="10"/>
        <v>0</v>
      </c>
      <c r="J18" s="1013">
        <f t="shared" si="10"/>
        <v>0</v>
      </c>
      <c r="K18" s="1013">
        <f t="shared" si="10"/>
        <v>0</v>
      </c>
      <c r="L18" s="1013">
        <f t="shared" si="10"/>
        <v>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239</v>
      </c>
      <c r="X18" s="1013">
        <f t="shared" si="11"/>
        <v>1</v>
      </c>
      <c r="Y18" s="1014">
        <f t="shared" si="11"/>
        <v>240</v>
      </c>
      <c r="Z18" s="1014">
        <f t="shared" si="11"/>
        <v>0</v>
      </c>
      <c r="AA18" s="1014">
        <f t="shared" si="11"/>
        <v>293</v>
      </c>
      <c r="AB18" s="1014">
        <f t="shared" si="11"/>
        <v>34</v>
      </c>
      <c r="AC18" s="1014">
        <f t="shared" si="11"/>
        <v>327</v>
      </c>
      <c r="AD18" s="1014">
        <f t="shared" si="11"/>
        <v>0</v>
      </c>
      <c r="AE18" s="1018">
        <f t="shared" si="11"/>
        <v>0</v>
      </c>
      <c r="AF18" s="1011">
        <f t="shared" si="11"/>
        <v>0</v>
      </c>
      <c r="AG18" s="1019">
        <f t="shared" si="11"/>
        <v>0</v>
      </c>
      <c r="AH18" s="1016">
        <f t="shared" si="11"/>
        <v>0</v>
      </c>
      <c r="AI18" s="1011">
        <f t="shared" si="11"/>
        <v>20</v>
      </c>
      <c r="AJ18" s="1013">
        <f t="shared" si="11"/>
        <v>0</v>
      </c>
      <c r="AK18" s="1016">
        <f t="shared" si="11"/>
        <v>0</v>
      </c>
      <c r="AL18" s="1020">
        <f>IF(ISNUMBER(NºAsuntos!G18/NºAsuntos!E18),NºAsuntos!G18/NºAsuntos!E18," - ")</f>
        <v>0.90530303030303028</v>
      </c>
      <c r="AM18" s="1020">
        <f>IF(ISNUMBER(((NºAsuntos!I18/NºAsuntos!G18)*11)/factor_trimestre),((NºAsuntos!I18/NºAsuntos!G18)*11)/factor_trimestre," - ")</f>
        <v>2.4518828451882846</v>
      </c>
      <c r="AN18" s="1021">
        <f>IF(ISNUMBER('Resol  Asuntos'!D18/NºAsuntos!G18),'Resol  Asuntos'!D18/NºAsuntos!G18," - ")</f>
        <v>8.3682008368200833E-2</v>
      </c>
      <c r="AO18" s="1022">
        <f>IF(ISNUMBER((NºAsuntos!C18+NºAsuntos!E18)/NºAsuntos!G18),(NºAsuntos!C18+NºAsuntos!E18)/NºAsuntos!G18," - ")</f>
        <v>2.2175732217573221</v>
      </c>
      <c r="AP18" s="1023" t="str">
        <f t="shared" si="2"/>
        <v xml:space="preserve"> - </v>
      </c>
      <c r="AQ18" s="1023">
        <f>IF(ISNUMBER((H18-W18+K18)/(F18)),(H18-W18+K18)/(F18)," - ")</f>
        <v>-0.92996108949416345</v>
      </c>
      <c r="AR18" s="1024">
        <f>IF(ISNUMBER((Datos!P18-Datos!Q18)/(Datos!R18-Datos!P18+Datos!Q18)),(Datos!P18-Datos!Q18)/(Datos!R18-Datos!P18+Datos!Q18)," - ")</f>
        <v>6.25E-2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260</v>
      </c>
      <c r="G19" s="967">
        <f t="shared" si="13"/>
        <v>269</v>
      </c>
      <c r="H19" s="966">
        <f t="shared" si="13"/>
        <v>0</v>
      </c>
      <c r="I19" s="968">
        <f t="shared" si="13"/>
        <v>0</v>
      </c>
      <c r="J19" s="968">
        <f t="shared" si="13"/>
        <v>0</v>
      </c>
      <c r="K19" s="1027">
        <f t="shared" si="13"/>
        <v>0</v>
      </c>
      <c r="L19" s="968">
        <f t="shared" si="13"/>
        <v>27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239</v>
      </c>
      <c r="X19" s="967">
        <f t="shared" si="14"/>
        <v>21</v>
      </c>
      <c r="Y19" s="974">
        <f t="shared" si="14"/>
        <v>260</v>
      </c>
      <c r="Z19" s="974">
        <f t="shared" si="14"/>
        <v>0</v>
      </c>
      <c r="AA19" s="974">
        <f t="shared" si="14"/>
        <v>297</v>
      </c>
      <c r="AB19" s="974">
        <f t="shared" si="14"/>
        <v>472</v>
      </c>
      <c r="AC19" s="974">
        <f t="shared" si="14"/>
        <v>331</v>
      </c>
      <c r="AD19" s="974">
        <f t="shared" si="14"/>
        <v>0</v>
      </c>
      <c r="AE19" s="976">
        <f t="shared" si="14"/>
        <v>0</v>
      </c>
      <c r="AF19" s="977">
        <f t="shared" si="14"/>
        <v>0</v>
      </c>
      <c r="AG19" s="978">
        <f t="shared" si="14"/>
        <v>0</v>
      </c>
      <c r="AH19" s="976">
        <f t="shared" si="14"/>
        <v>0</v>
      </c>
      <c r="AI19" s="966">
        <f t="shared" si="14"/>
        <v>36</v>
      </c>
      <c r="AJ19" s="966">
        <f t="shared" si="14"/>
        <v>0</v>
      </c>
      <c r="AK19" s="976">
        <f t="shared" si="14"/>
        <v>0</v>
      </c>
      <c r="AL19" s="1030">
        <f>IF(ISNUMBER(NºAsuntos!G19/NºAsuntos!E19),NºAsuntos!G19/NºAsuntos!E19," - ")</f>
        <v>0.9069069069069069</v>
      </c>
      <c r="AM19" s="1031">
        <f>IF(ISNUMBER(((NºAsuntos!I19/NºAsuntos!G19)*11)/factor_trimestre),((NºAsuntos!I19/NºAsuntos!G19)*11)/factor_trimestre," - ")</f>
        <v>5.9801324503311255</v>
      </c>
      <c r="AN19" s="1031">
        <f>IF(ISNUMBER('Resol  Asuntos'!D19/NºAsuntos!G19),'Resol  Asuntos'!D19/NºAsuntos!G19," - ")</f>
        <v>0.11920529801324503</v>
      </c>
      <c r="AO19" s="1032">
        <f>IF(ISNUMBER((NºAsuntos!C19+NºAsuntos!E19)/NºAsuntos!G19),(NºAsuntos!C19+NºAsuntos!E19)/NºAsuntos!G19," - ")</f>
        <v>3.9834437086092715</v>
      </c>
      <c r="AP19" s="1033" t="str">
        <f t="shared" si="2"/>
        <v xml:space="preserve"> - </v>
      </c>
      <c r="AQ19" s="1034">
        <f>IF(OR(ISNUMBER(FIND("01",Criterios!A8,1)),ISNUMBER(FIND("02",Criterios!A8,1)),ISNUMBER(FIND("03",Criterios!A8,1)),ISNUMBER(FIND("04",Criterios!A8,1))),(I19-W19+K19)/(F19-K19),(H19-W19+K19)/(F19-K19))</f>
        <v>-0.91923076923076918</v>
      </c>
      <c r="AR19" s="1035">
        <f>IF(ISNUMBER((Datos!P19-Datos!Q19)/(Datos!R19-Datos!P19+Datos!Q19)),(Datos!P19-Datos!Q19)/(Datos!R19-Datos!P19+Datos!Q19)," - ")</f>
        <v>1.2875536480686695E-2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107.6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146.64696837416494</v>
      </c>
      <c r="G21" s="257">
        <f>IF(ISNUMBER(STDEV(G8:G18)),STDEV(G8:G18),"-")</f>
        <v>139.67032612548738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118.70678160913975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8.3186537372341682</v>
      </c>
      <c r="AJ21" s="256">
        <f t="shared" si="18"/>
        <v>0</v>
      </c>
      <c r="AK21" s="258">
        <f t="shared" si="18"/>
        <v>0</v>
      </c>
      <c r="AL21" s="253">
        <f t="shared" si="18"/>
        <v>0.37210468122485424</v>
      </c>
      <c r="AM21" s="254">
        <f t="shared" si="18"/>
        <v>9.4854530645508905</v>
      </c>
      <c r="AN21" s="254">
        <f t="shared" si="18"/>
        <v>9.0576085313520127E-2</v>
      </c>
      <c r="AO21" s="255">
        <f t="shared" si="18"/>
        <v>4.7457340689098295</v>
      </c>
      <c r="AP21" s="295" t="str">
        <f t="shared" si="18"/>
        <v>-</v>
      </c>
      <c r="AQ21" s="296">
        <f t="shared" si="18"/>
        <v>0.65758179262095273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BeBEizo2HZSVWhQVZRV86e75tF6Y+p0ppt4sL39ZiMat/ot1KLCV4hgvUpSClS1QaOGsFaS+yx5+m4rMhOvfyw==" saltValue="YwsXL+DKAoRUK4GqMqzl7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ARAGON</v>
      </c>
      <c r="E2" s="267"/>
    </row>
    <row r="3" spans="2:20" ht="17.25" customHeight="1">
      <c r="C3" s="271"/>
      <c r="D3" s="266" t="str">
        <f>Criterios!A10 &amp;"  "&amp;Criterios!B10</f>
        <v>Provincias  ZARAGOZA</v>
      </c>
      <c r="E3" s="267"/>
    </row>
    <row r="4" spans="2:20" ht="17.25" customHeight="1" thickBot="1">
      <c r="D4" s="266" t="str">
        <f>Criterios!A11 &amp;"  "&amp;Criterios!B11</f>
        <v>Resumenes por Partidos Judiciales  CASPE</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-0.5714285714285714</v>
      </c>
      <c r="E10" s="357">
        <f>IF(ISNUMBER((Datos!J10-Datos!T10)/Datos!T10),(Datos!J10-Datos!T10)/Datos!T10," - ")</f>
        <v>-0.66666666666666663</v>
      </c>
      <c r="F10" s="357" t="str">
        <f>IF(ISNUMBER((Datos!K10-Datos!U10)/Datos!U10),(Datos!K10-Datos!U10)/Datos!U10," - ")</f>
        <v xml:space="preserve"> - </v>
      </c>
      <c r="G10" s="358">
        <f>IF(ISNUMBER((Datos!L10-Datos!V10)/Datos!V10),(Datos!L10-Datos!V10)/Datos!V10," - ")</f>
        <v>-0.6</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-0.30434782608695654</v>
      </c>
      <c r="I12" s="359">
        <f>IF(ISNUMBER((Tasas!C12-Datos!BE12)/Datos!BE12),(Tasas!C12-Datos!BE12)/Datos!BE12," - ")</f>
        <v>1.1728305535412136</v>
      </c>
      <c r="J12" s="358">
        <f>IF(ISNUMBER((Tasas!D12-Datos!BF12)/Datos!BF12),(Tasas!D12-Datos!BF12)/Datos!BF12," - ")</f>
        <v>-0.43492063492063493</v>
      </c>
      <c r="K12" s="360">
        <f>IF(ISNUMBER((Tasas!E12-Datos!BG12)/Datos!BG12),(Tasas!E12-Datos!BG12)/Datos!BG12," - ")</f>
        <v>0.96077850227227801</v>
      </c>
      <c r="M12" t="e">
        <f>IF(Monitorios="SI",Datos!CE12,0)</f>
        <v>#REF!</v>
      </c>
      <c r="N12" t="e">
        <f>IF(Monitorios="SI",Datos!CF12,0)</f>
        <v>#REF!</v>
      </c>
      <c r="O12" t="e">
        <f>IF(Monitorios="SI",Datos!CG12,0)</f>
        <v>#REF!</v>
      </c>
      <c r="P12" t="e">
        <f>IF(Monitorios="SI",Datos!CH12,0)</f>
        <v>#REF!</v>
      </c>
      <c r="Q12">
        <f>IF(J_V="SI",0,Datos!AG12)</f>
        <v>9</v>
      </c>
      <c r="R12">
        <f>IF(J_V="SI",0,Datos!AH12)</f>
        <v>6</v>
      </c>
      <c r="S12">
        <f>IF(J_V="SI",0,Datos!AI12)</f>
        <v>12</v>
      </c>
      <c r="T12">
        <f>IF(J_V="SI",0,Datos!AJ12)</f>
        <v>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-0.30434782608695654</v>
      </c>
      <c r="I13" s="366">
        <f>IF(ISNUMBER((Tasas!C13-Datos!BE13)/Datos!BE13),(Tasas!C13-Datos!BE13)/Datos!BE13," - ")</f>
        <v>1.1330347320446328</v>
      </c>
      <c r="J13" s="364">
        <f>IF(ISNUMBER((Tasas!D13-Datos!BF13)/Datos!BF13),(Tasas!D13-Datos!BF13)/Datos!BF13," - ")</f>
        <v>-0.43492063492063493</v>
      </c>
      <c r="K13" s="367">
        <f>IF(ISNUMBER((Tasas!E13-Datos!BG13)/Datos!BG13),(Tasas!E13-Datos!BG13)/Datos!BG13," - ")</f>
        <v>0.93241063363014565</v>
      </c>
      <c r="M13" t="e">
        <f>IF(Monitorios="SI",Datos!CE13,0)</f>
        <v>#REF!</v>
      </c>
      <c r="N13" t="e">
        <f>IF(Monitorios="SI",Datos!CF13,0)</f>
        <v>#REF!</v>
      </c>
      <c r="O13" t="e">
        <f>IF(Monitorios="SI",Datos!CG13,0)</f>
        <v>#REF!</v>
      </c>
      <c r="P13" t="e">
        <f>IF(Monitorios="SI",Datos!CH13,0)</f>
        <v>#REF!</v>
      </c>
      <c r="Q13">
        <f>IF(J_V="SI",0,Datos!AG13)</f>
        <v>9</v>
      </c>
      <c r="R13">
        <f>IF(J_V="SI",0,Datos!AH13)</f>
        <v>6</v>
      </c>
      <c r="S13">
        <f>IF(J_V="SI",0,Datos!AI13)</f>
        <v>12</v>
      </c>
      <c r="T13">
        <f>IF(J_V="SI",0,Datos!AJ13)</f>
        <v>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-7.2727272727272724E-2</v>
      </c>
      <c r="E16" s="357">
        <f>IF(ISNUMBER(
   IF(D_I="SI",(Datos!J16-Datos!T16)/Datos!T16,(Datos!J16+Datos!AD16-(Datos!T16+Datos!AL16))/(Datos!T16+Datos!AL16))
     ),IF(D_I="SI",(Datos!J16-Datos!T16)/Datos!T16,(Datos!J16+Datos!AD16-(Datos!T16+Datos!AL16))/(Datos!T16+Datos!AL16))," - ")</f>
        <v>-7.9365079365079361E-2</v>
      </c>
      <c r="F16" s="357">
        <f>IF(ISNUMBER(
   IF(D_I="SI",(Datos!K16-Datos!U16)/Datos!U16,(Datos!K16+Datos!AE16-(Datos!U16+Datos!AM16))/(Datos!U16+Datos!AM16))
     ),IF(D_I="SI",(Datos!K16-Datos!U16)/Datos!U16,(Datos!K16+Datos!AE16-(Datos!U16+Datos!AM16))/(Datos!U16+Datos!AM16))," - ")</f>
        <v>-0.16334661354581673</v>
      </c>
      <c r="G16" s="358">
        <f>IF(ISNUMBER(
   IF(D_I="SI",(Datos!L16-Datos!V16)/Datos!V16,(Datos!L16+Datos!AF16-(Datos!V16+Datos!AN16))/(Datos!V16+Datos!AN16))
     ),IF(D_I="SI",(Datos!L16-Datos!V16)/Datos!V16,(Datos!L16+Datos!AF16-(Datos!V16+Datos!AN16))/(Datos!V16+Datos!AN16))," - ")</f>
        <v>-2.1052631578947368E-2</v>
      </c>
      <c r="H16" s="234">
        <f>IF(ISNUMBER((Datos!M16-Datos!W16)/Datos!W16),(Datos!M16-Datos!W16)/Datos!W16," - ")</f>
        <v>-0.22727272727272727</v>
      </c>
      <c r="I16" s="359">
        <f>IF(ISNUMBER((Tasas!C16-Datos!BE16)/Datos!BE16),(Tasas!C16-Datos!BE16)/Datos!BE16," - ")</f>
        <v>0.17007518796992466</v>
      </c>
      <c r="J16" s="358">
        <f>IF(ISNUMBER((Tasas!D16-Datos!BF16)/Datos!BF16),(Tasas!D16-Datos!BF16)/Datos!BF16," - ")</f>
        <v>-7.6406926406926423E-2</v>
      </c>
      <c r="K16" s="360">
        <f>IF(ISNUMBER((Tasas!E16-Datos!BG16)/Datos!BG16),(Tasas!E16-Datos!BG16)/Datos!BG16," - ")</f>
        <v>0.10451793620674091</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v>
      </c>
      <c r="E17" s="357">
        <f>IF(ISNUMBER(
   IF(D_I="SI",(Datos!J17-Datos!T17)/Datos!T17,(Datos!J17+Datos!AD17-(Datos!T17+Datos!AL17))/(Datos!T17+Datos!AL17))
     ),IF(D_I="SI",(Datos!J17-Datos!T17)/Datos!T17,(Datos!J17+Datos!AD17-(Datos!T17+Datos!AL17))/(Datos!T17+Datos!AL17))," - ")</f>
        <v>-0.21951219512195122</v>
      </c>
      <c r="F17" s="357">
        <f>IF(ISNUMBER(
   IF(D_I="SI",(Datos!K17-Datos!U17)/Datos!U17,(Datos!K17+Datos!AE17-(Datos!U17+Datos!AM17))/(Datos!U17+Datos!AM17))
     ),IF(D_I="SI",(Datos!K17-Datos!U17)/Datos!U17,(Datos!K17+Datos!AE17-(Datos!U17+Datos!AM17))/(Datos!U17+Datos!AM17))," - ")</f>
        <v>-0.14705882352941177</v>
      </c>
      <c r="G17" s="358">
        <f>IF(ISNUMBER(
   IF(D_I="SI",(Datos!L17-Datos!V17)/Datos!V17,(Datos!L17+Datos!AF17-(Datos!V17+Datos!AN17))/(Datos!V17+Datos!AN17))
     ),IF(D_I="SI",(Datos!L17-Datos!V17)/Datos!V17,(Datos!L17+Datos!AF17-(Datos!V17+Datos!AN17))/(Datos!V17+Datos!AN17))," - ")</f>
        <v>-0.22222222222222221</v>
      </c>
      <c r="H17" s="234">
        <f>IF(ISNUMBER((Datos!M17-Datos!W17)/Datos!W17),(Datos!M17-Datos!W17)/Datos!W17," - ")</f>
        <v>0.5</v>
      </c>
      <c r="I17" s="359">
        <f>IF(ISNUMBER((Tasas!C17-Datos!BE17)/Datos!BE17),(Tasas!C17-Datos!BE17)/Datos!BE17," - ")</f>
        <v>-8.8122605363984641E-2</v>
      </c>
      <c r="J17" s="358">
        <f>IF(ISNUMBER((Tasas!D17-Datos!BF17)/Datos!BF17),(Tasas!D17-Datos!BF17)/Datos!BF17," - ")</f>
        <v>0.75862068965517238</v>
      </c>
      <c r="K17" s="360">
        <f>IF(ISNUMBER((Tasas!E17-Datos!BG17)/Datos!BG17),(Tasas!E17-Datos!BG17)/Datos!BG17," - ")</f>
        <v>-1.1494252873563168E-2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-6.6666666666666666E-2</v>
      </c>
      <c r="E18" s="363">
        <f>IF(ISNUMBER(
   IF(D_I="SI",(Datos!J18-Datos!T18)/Datos!T18,(Datos!J18+Datos!AD18-(Datos!T18+Datos!AL18))/(Datos!T18+Datos!AL18))
     ),IF(D_I="SI",(Datos!J18-Datos!T18)/Datos!T18,(Datos!J18+Datos!AD18-(Datos!T18+Datos!AL18))/(Datos!T18+Datos!AL18))," - ")</f>
        <v>-9.8976109215017066E-2</v>
      </c>
      <c r="F18" s="363">
        <f>IF(ISNUMBER(
   IF(D_I="SI",(Datos!K18-Datos!U18)/Datos!U18,(Datos!K18+Datos!AE18-(Datos!U18+Datos!AM18))/(Datos!U18+Datos!AM18))
     ),IF(D_I="SI",(Datos!K18-Datos!U18)/Datos!U18,(Datos!K18+Datos!AE18-(Datos!U18+Datos!AM18))/(Datos!U18+Datos!AM18))," - ")</f>
        <v>-0.16140350877192983</v>
      </c>
      <c r="G18" s="364">
        <f>IF(ISNUMBER(
   IF(D_I="SI",(Datos!L18-Datos!V18)/Datos!V18,(Datos!L18+Datos!AF18-(Datos!V18+Datos!AN18))/(Datos!V18+Datos!AN18))
     ),IF(D_I="SI",(Datos!L18-Datos!V18)/Datos!V18,(Datos!L18+Datos!AF18-(Datos!V18+Datos!AN18))/(Datos!V18+Datos!AN18))," - ")</f>
        <v>-3.3003300330033E-2</v>
      </c>
      <c r="H18" s="365">
        <f>IF(ISNUMBER((Datos!M18-Datos!W18)/Datos!W18),(Datos!M18-Datos!W18)/Datos!W18," - ")</f>
        <v>-0.16666666666666666</v>
      </c>
      <c r="I18" s="366">
        <f>IF(ISNUMBER((Tasas!C18-Datos!BE18)/Datos!BE18),(Tasas!C18-Datos!BE18)/Datos!BE18," - ")</f>
        <v>0.15311321927171803</v>
      </c>
      <c r="J18" s="364">
        <f>IF(ISNUMBER((Tasas!D18-Datos!BF18)/Datos!BF18),(Tasas!D18-Datos!BF18)/Datos!BF18," - ")</f>
        <v>-6.2761506276150843E-3</v>
      </c>
      <c r="K18" s="367">
        <f>IF(ISNUMBER((Tasas!E18-Datos!BG18)/Datos!BG18),(Tasas!E18-Datos!BG18)/Datos!BG18," - ")</f>
        <v>9.3440083392451148E-2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0.37658227848101267</v>
      </c>
      <c r="E19" s="372">
        <f>IF(ISNUMBER(
   IF(J_V="SI",(Datos!J19-Datos!T19)/Datos!T19,(Datos!J19+Datos!Z19-(Datos!T19+Datos!AH19))/(Datos!T19+Datos!AH19))
     ),IF(J_V="SI",(Datos!J19-Datos!T19)/Datos!T19,(Datos!J19+Datos!Z19-(Datos!T19+Datos!AH19))/(Datos!T19+Datos!AH19))," - ")</f>
        <v>-0.23972602739726026</v>
      </c>
      <c r="F19" s="372">
        <f>IF(ISNUMBER(
   IF(J_V="SI",(Datos!K19-Datos!U19)/Datos!U19,(Datos!K19+Datos!AA19-(Datos!U19+Datos!AI19))/(Datos!U19+Datos!AI19))
     ),IF(J_V="SI",(Datos!K19-Datos!U19)/Datos!U19,(Datos!K19+Datos!AA19-(Datos!U19+Datos!AI19))/(Datos!U19+Datos!AI19))," - ")</f>
        <v>-0.19251336898395721</v>
      </c>
      <c r="G19" s="373">
        <f>IF(ISNUMBER(
   IF(J_V="SI",(Datos!L19-Datos!V19)/Datos!V19,(Datos!L19+Datos!AB19-(Datos!V19+Datos!AJ19))/(Datos!V19+Datos!AJ19))
     ),IF(J_V="SI",(Datos!L19-Datos!V19)/Datos!V19,(Datos!L19+Datos!AB19-(Datos!V19+Datos!AJ19))/(Datos!V19+Datos!AJ19))," - ")</f>
        <v>0.27722772277227725</v>
      </c>
      <c r="H19" s="374">
        <f>IF(ISNUMBER((Datos!M19-Datos!W19)/Datos!W19),(Datos!M19-Datos!W19)/Datos!W19," - ")</f>
        <v>-0.23404255319148937</v>
      </c>
      <c r="I19" s="371">
        <f>IF(ISNUMBER((Tasas!C19-Datos!BE19)/Datos!BE19),(Tasas!C19-Datos!BE19)/Datos!BE19," - ")</f>
        <v>0.58173234541997232</v>
      </c>
      <c r="J19" s="372">
        <f>IF(ISNUMBER((Tasas!D19-Datos!BF19)/Datos!BF19),(Tasas!D19-Datos!BF19)/Datos!BF19," - ")</f>
        <v>-0.30339403973509932</v>
      </c>
      <c r="K19" s="373">
        <f>IF(ISNUMBER((Tasas!E19-Datos!BG19)/Datos!BG19),(Tasas!E19-Datos!BG19)/Datos!BG19," - ")</f>
        <v>0.39234387571950247</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0.29039529263621011</v>
      </c>
      <c r="E21" s="282">
        <f t="shared" si="1"/>
        <v>0.27411943860321053</v>
      </c>
      <c r="F21" s="282">
        <f t="shared" si="1"/>
        <v>8.8960455117964108E-3</v>
      </c>
      <c r="G21" s="283">
        <f t="shared" si="1"/>
        <v>0.27015384279243504</v>
      </c>
      <c r="H21" s="289">
        <f t="shared" si="1"/>
        <v>0.34064551623029204</v>
      </c>
      <c r="I21" s="281">
        <f t="shared" si="1"/>
        <v>0.59752988924120776</v>
      </c>
      <c r="J21" s="282">
        <f t="shared" si="1"/>
        <v>0.48789726145608048</v>
      </c>
      <c r="K21" s="283">
        <f t="shared" si="1"/>
        <v>0.48664176944537452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zDs3P8UoofXjvlifW2We63yk2ccitlcxBHMTwVO5WWkFMFhBRjuKdIsvdcWJjwQN8FGspUZYIsn90LkY/uuKJg==" saltValue="h6eAjGcJ+aRQcrRmgNQNy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2023-11-29T06:34:43Z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